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14025" windowHeight="8835" activeTab="0"/>
  </bookViews>
  <sheets>
    <sheet name="L4981A 30VDC" sheetId="1" r:id="rId1"/>
    <sheet name="12VAC-30VDC" sheetId="2" r:id="rId2"/>
    <sheet name="PFC 400V-200W" sheetId="3" r:id="rId3"/>
    <sheet name="PCF 24VAC-45VDC" sheetId="4" r:id="rId4"/>
    <sheet name="MC3426x" sheetId="5" r:id="rId5"/>
  </sheets>
  <definedNames/>
  <calcPr fullCalcOnLoad="1"/>
</workbook>
</file>

<file path=xl/sharedStrings.xml><?xml version="1.0" encoding="utf-8"?>
<sst xmlns="http://schemas.openxmlformats.org/spreadsheetml/2006/main" count="503" uniqueCount="231">
  <si>
    <t>Calculs sur un PFC basse tension</t>
  </si>
  <si>
    <t>Circuit :</t>
  </si>
  <si>
    <t>L4981A</t>
  </si>
  <si>
    <t>Vs</t>
  </si>
  <si>
    <t>Ps</t>
  </si>
  <si>
    <t>Is</t>
  </si>
  <si>
    <t>en V</t>
  </si>
  <si>
    <t>en W</t>
  </si>
  <si>
    <t>en A</t>
  </si>
  <si>
    <t>en Hz</t>
  </si>
  <si>
    <t>F</t>
  </si>
  <si>
    <t>L</t>
  </si>
  <si>
    <t>en H</t>
  </si>
  <si>
    <t>n</t>
  </si>
  <si>
    <t>spires</t>
  </si>
  <si>
    <t>Ferrite</t>
  </si>
  <si>
    <t>58071 Mag.</t>
  </si>
  <si>
    <t>Fils</t>
  </si>
  <si>
    <t>AWG16</t>
  </si>
  <si>
    <t>Diam.</t>
  </si>
  <si>
    <t>en mm</t>
  </si>
  <si>
    <t>MOSFET</t>
  </si>
  <si>
    <t>STP60N606FI</t>
  </si>
  <si>
    <t>DIODE</t>
  </si>
  <si>
    <t>STPS20100CT</t>
  </si>
  <si>
    <t>Cs</t>
  </si>
  <si>
    <t>en F</t>
  </si>
  <si>
    <t>Ve eff</t>
  </si>
  <si>
    <t>Ie eff</t>
  </si>
  <si>
    <t>Ve eff max</t>
  </si>
  <si>
    <t>Surtention</t>
  </si>
  <si>
    <t>en %</t>
  </si>
  <si>
    <t>Ve crête max</t>
  </si>
  <si>
    <t>Vout =</t>
  </si>
  <si>
    <t>Vs =</t>
  </si>
  <si>
    <t>Is =</t>
  </si>
  <si>
    <t>N°1</t>
  </si>
  <si>
    <t>N°2</t>
  </si>
  <si>
    <t>N°3</t>
  </si>
  <si>
    <t>V</t>
  </si>
  <si>
    <t>A</t>
  </si>
  <si>
    <t>W</t>
  </si>
  <si>
    <t xml:space="preserve">Ps = </t>
  </si>
  <si>
    <t>Rendement =</t>
  </si>
  <si>
    <t>Pout =</t>
  </si>
  <si>
    <t>Iout =</t>
  </si>
  <si>
    <t xml:space="preserve">Variations = </t>
  </si>
  <si>
    <t xml:space="preserve">Vac = </t>
  </si>
  <si>
    <t>Vac nom =</t>
  </si>
  <si>
    <t>Vcrête =</t>
  </si>
  <si>
    <t xml:space="preserve">Pin = </t>
  </si>
  <si>
    <t xml:space="preserve">Ieff = </t>
  </si>
  <si>
    <t xml:space="preserve">Icrête = </t>
  </si>
  <si>
    <t xml:space="preserve">Ilmax = </t>
  </si>
  <si>
    <t xml:space="preserve">t = </t>
  </si>
  <si>
    <t xml:space="preserve">L = </t>
  </si>
  <si>
    <t>us</t>
  </si>
  <si>
    <t>uH</t>
  </si>
  <si>
    <t xml:space="preserve">ton = </t>
  </si>
  <si>
    <t xml:space="preserve">teta = </t>
  </si>
  <si>
    <t>°</t>
  </si>
  <si>
    <t xml:space="preserve">toff = </t>
  </si>
  <si>
    <t xml:space="preserve">f = </t>
  </si>
  <si>
    <t>Hz</t>
  </si>
  <si>
    <t xml:space="preserve">Vcs = </t>
  </si>
  <si>
    <t>V for fixed operations</t>
  </si>
  <si>
    <t xml:space="preserve">R9 = </t>
  </si>
  <si>
    <t>Ohms</t>
  </si>
  <si>
    <t xml:space="preserve">Vm = </t>
  </si>
  <si>
    <t>Vcrête max =</t>
  </si>
  <si>
    <t xml:space="preserve">R3 = </t>
  </si>
  <si>
    <t>R7 =</t>
  </si>
  <si>
    <t xml:space="preserve">Vref = </t>
  </si>
  <si>
    <t xml:space="preserve">IIB = </t>
  </si>
  <si>
    <t>uA</t>
  </si>
  <si>
    <t xml:space="preserve">IR1 = </t>
  </si>
  <si>
    <t xml:space="preserve">R1 = </t>
  </si>
  <si>
    <t>R2 =</t>
  </si>
  <si>
    <t xml:space="preserve">BW = </t>
  </si>
  <si>
    <t xml:space="preserve">C1 = </t>
  </si>
  <si>
    <t xml:space="preserve">Vo = </t>
  </si>
  <si>
    <t>nF</t>
  </si>
  <si>
    <t>Calculs sur un PFC avec le circuit L4981A</t>
  </si>
  <si>
    <t>STH15NA50FI</t>
  </si>
  <si>
    <t>@ 25°C</t>
  </si>
  <si>
    <t>@ 100°C</t>
  </si>
  <si>
    <t>Power MOSFET</t>
  </si>
  <si>
    <t>dVout =</t>
  </si>
  <si>
    <t>Peak inductor current =</t>
  </si>
  <si>
    <t>dIL =</t>
  </si>
  <si>
    <t>RMS inductor current =</t>
  </si>
  <si>
    <t>Average diode current =</t>
  </si>
  <si>
    <t>RMS capacitor Cout current =</t>
  </si>
  <si>
    <t>RMS 2xf capacitor Cout current =</t>
  </si>
  <si>
    <t>RMS HF capacitor Cout current =</t>
  </si>
  <si>
    <t>VDSS =</t>
  </si>
  <si>
    <t>Transistor =</t>
  </si>
  <si>
    <t>VDSS retenu =</t>
  </si>
  <si>
    <t>RDSON =</t>
  </si>
  <si>
    <t>Pon =</t>
  </si>
  <si>
    <t>Power section design</t>
  </si>
  <si>
    <t>Calculs simplifié s</t>
  </si>
  <si>
    <t>Input power Pi =</t>
  </si>
  <si>
    <t>Variation =</t>
  </si>
  <si>
    <t>VIac =</t>
  </si>
  <si>
    <t>VIpeak =</t>
  </si>
  <si>
    <t>dVout max =</t>
  </si>
  <si>
    <t>Fsw =</t>
  </si>
  <si>
    <t>Rendement min =</t>
  </si>
  <si>
    <t>Iac = ILrms =</t>
  </si>
  <si>
    <t>ILpeak =</t>
  </si>
  <si>
    <t>dILmax = Kr =</t>
  </si>
  <si>
    <t>Vipeak &gt; Vout / 2 ?</t>
  </si>
  <si>
    <t>L1 = Vout/(4*Fsw*dIL) =</t>
  </si>
  <si>
    <t>L2 =</t>
  </si>
  <si>
    <t>Cin &gt;</t>
  </si>
  <si>
    <t>entre 0,02 et 0,08 ???</t>
  </si>
  <si>
    <t>r = dVI/VI =</t>
  </si>
  <si>
    <t>Cout (low ESR) =</t>
  </si>
  <si>
    <t>F =</t>
  </si>
  <si>
    <t>uF</t>
  </si>
  <si>
    <t>ESR =</t>
  </si>
  <si>
    <t>Zc = dVout / Iout =</t>
  </si>
  <si>
    <t>Xc =</t>
  </si>
  <si>
    <t>Cout =</t>
  </si>
  <si>
    <t>Thold =</t>
  </si>
  <si>
    <t>s</t>
  </si>
  <si>
    <t>Vout operative =</t>
  </si>
  <si>
    <t>ILpeak + dIL/2 =</t>
  </si>
  <si>
    <t>RMS switch current (2) =</t>
  </si>
  <si>
    <t>RMS switch current (3) =</t>
  </si>
  <si>
    <t>Pcrossover =</t>
  </si>
  <si>
    <t>tcr =</t>
  </si>
  <si>
    <t>ns</t>
  </si>
  <si>
    <t>IQrms (3) =</t>
  </si>
  <si>
    <t>Pcapacitive =</t>
  </si>
  <si>
    <t>Coss =</t>
  </si>
  <si>
    <t>Cext =</t>
  </si>
  <si>
    <t>pF</t>
  </si>
  <si>
    <t>BOOSTER diode</t>
  </si>
  <si>
    <t>Type =</t>
  </si>
  <si>
    <t>STTA506D</t>
  </si>
  <si>
    <t>Vton =</t>
  </si>
  <si>
    <t>Rd =</t>
  </si>
  <si>
    <t xml:space="preserve">PD = </t>
  </si>
  <si>
    <t>IF(AV) =</t>
  </si>
  <si>
    <t>RMS switch current (1) =</t>
  </si>
  <si>
    <t>RMS diode curent (1) =</t>
  </si>
  <si>
    <t>RMS diode current (2) =</t>
  </si>
  <si>
    <t>IF(RMS) (3) =</t>
  </si>
  <si>
    <t>Inductor design</t>
  </si>
  <si>
    <t>Capacitors design</t>
  </si>
  <si>
    <t>Calculs simplifiés</t>
  </si>
  <si>
    <t>HUF75639P3</t>
  </si>
  <si>
    <t>100V</t>
  </si>
  <si>
    <t>@ 120°C</t>
  </si>
  <si>
    <t>43CTQ080</t>
  </si>
  <si>
    <t>PFC BOOST DESIGN CRITERIA</t>
  </si>
  <si>
    <t>Iipk =</t>
  </si>
  <si>
    <t>Rs =</t>
  </si>
  <si>
    <t>Rsx =</t>
  </si>
  <si>
    <t>Nb of Rsx =</t>
  </si>
  <si>
    <t>Ohm</t>
  </si>
  <si>
    <t>Sense Resistor</t>
  </si>
  <si>
    <t>Prs =</t>
  </si>
  <si>
    <t>Psx =</t>
  </si>
  <si>
    <t>Pmax =</t>
  </si>
  <si>
    <t>Ipk =</t>
  </si>
  <si>
    <t>R11 (1%) =</t>
  </si>
  <si>
    <t>Vref =</t>
  </si>
  <si>
    <t>R21 (1%)</t>
  </si>
  <si>
    <t>Iaux =</t>
  </si>
  <si>
    <t>Raux =</t>
  </si>
  <si>
    <t>RIpk =</t>
  </si>
  <si>
    <t>Vrs = VRIpk =</t>
  </si>
  <si>
    <t>ILmax =</t>
  </si>
  <si>
    <t>R11 (1%)</t>
  </si>
  <si>
    <t>Pin 3 OVP</t>
  </si>
  <si>
    <t>Pin 2 IPK</t>
  </si>
  <si>
    <t>Ra/Rb =</t>
  </si>
  <si>
    <t>Design 1</t>
  </si>
  <si>
    <t>Design 2</t>
  </si>
  <si>
    <t>Ra =</t>
  </si>
  <si>
    <t>Rb =</t>
  </si>
  <si>
    <t>R10 en kOhms</t>
  </si>
  <si>
    <t>R9 en kOhms</t>
  </si>
  <si>
    <t>Vout max =</t>
  </si>
  <si>
    <t>Pin 4 IAC</t>
  </si>
  <si>
    <t>Vin max =</t>
  </si>
  <si>
    <t>Rac =</t>
  </si>
  <si>
    <t>R17</t>
  </si>
  <si>
    <t>Design 3</t>
  </si>
  <si>
    <t>Iiac =</t>
  </si>
  <si>
    <t>Pin 5 CA-OUT</t>
  </si>
  <si>
    <t>Vsrp =</t>
  </si>
  <si>
    <t>Rf/Ri =</t>
  </si>
  <si>
    <t>Rf/Ri &lt;</t>
  </si>
  <si>
    <t>Ri =</t>
  </si>
  <si>
    <t>Rf =</t>
  </si>
  <si>
    <t>R4 en kOhms</t>
  </si>
  <si>
    <t>R5 en kOhms</t>
  </si>
  <si>
    <t>Cf =</t>
  </si>
  <si>
    <t>C3 =</t>
  </si>
  <si>
    <t>Pin 6 LFF</t>
  </si>
  <si>
    <t>= Pin 11 VREF</t>
  </si>
  <si>
    <t>Pin 7 VRMS</t>
  </si>
  <si>
    <t>Pin 8 MULT-OUT</t>
  </si>
  <si>
    <t>Vva-out =</t>
  </si>
  <si>
    <t>VLff =</t>
  </si>
  <si>
    <t>Vrms =</t>
  </si>
  <si>
    <t>Imult =</t>
  </si>
  <si>
    <t>R'i =</t>
  </si>
  <si>
    <t>Ie max =</t>
  </si>
  <si>
    <t>R3</t>
  </si>
  <si>
    <t>Pin 12 SS</t>
  </si>
  <si>
    <t>Iss =</t>
  </si>
  <si>
    <t>Css =</t>
  </si>
  <si>
    <t>tss =</t>
  </si>
  <si>
    <t>Pin 13 VA-OUT</t>
  </si>
  <si>
    <t>VE/A min =</t>
  </si>
  <si>
    <t>VE/A max =</t>
  </si>
  <si>
    <t>ratio =</t>
  </si>
  <si>
    <t>dVea =</t>
  </si>
  <si>
    <t>dVout  =</t>
  </si>
  <si>
    <t>Gea &lt;</t>
  </si>
  <si>
    <t>R1</t>
  </si>
  <si>
    <t>R1 =</t>
  </si>
  <si>
    <t>R2</t>
  </si>
  <si>
    <t>Pin 14 VFEED</t>
  </si>
  <si>
    <t>R1/R2 =</t>
  </si>
  <si>
    <t>Rr =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</si>
</sst>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_-* #,##0.0\ _F_-;\-* #,##0.0\ _F_-;_-* &quot;-&quot;??\ _F_-;_-@_-"/>
    <numFmt numFmtId="180" formatCode="_-* #,##0\ _F_-;\-* #,##0\ _F_-;_-* &quot;-&quot;??\ _F_-;_-@_-"/>
    <numFmt numFmtId="181" formatCode="0.00000000"/>
    <numFmt numFmtId="182" formatCode="0.000E+00"/>
  </numFmts>
  <fonts count="7">
    <font>
      <sz val="12"/>
      <name val="Times New Roman"/>
      <family val="0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center"/>
    </xf>
    <xf numFmtId="9" fontId="0" fillId="0" borderId="0" xfId="19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center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77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15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9" fontId="0" fillId="0" borderId="0" xfId="19" applyFont="1" applyAlignment="1">
      <alignment horizontal="right"/>
    </xf>
    <xf numFmtId="11" fontId="0" fillId="0" borderId="0" xfId="0" applyNumberFormat="1" applyAlignment="1">
      <alignment horizontal="right"/>
    </xf>
    <xf numFmtId="176" fontId="0" fillId="0" borderId="0" xfId="0" applyNumberFormat="1" applyAlignment="1">
      <alignment horizontal="left"/>
    </xf>
    <xf numFmtId="11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1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center"/>
    </xf>
    <xf numFmtId="3" fontId="0" fillId="0" borderId="0" xfId="15" applyNumberForma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177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Alignment="1" quotePrefix="1">
      <alignment horizontal="left"/>
    </xf>
    <xf numFmtId="17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42">
      <selection activeCell="D63" sqref="D63:F63"/>
    </sheetView>
  </sheetViews>
  <sheetFormatPr defaultColWidth="11.00390625" defaultRowHeight="15.75"/>
  <cols>
    <col min="2" max="2" width="6.25390625" style="13" customWidth="1"/>
    <col min="3" max="3" width="11.00390625" style="4" customWidth="1"/>
    <col min="4" max="4" width="12.125" style="2" bestFit="1" customWidth="1"/>
    <col min="5" max="5" width="11.00390625" style="2" customWidth="1"/>
    <col min="6" max="6" width="12.375" style="2" bestFit="1" customWidth="1"/>
    <col min="7" max="7" width="12.375" style="0" bestFit="1" customWidth="1"/>
    <col min="8" max="8" width="5.125" style="0" bestFit="1" customWidth="1"/>
    <col min="9" max="9" width="5.375" style="0" bestFit="1" customWidth="1"/>
  </cols>
  <sheetData>
    <row r="1" ht="20.25">
      <c r="A1" s="1" t="s">
        <v>157</v>
      </c>
    </row>
    <row r="2" spans="2:5" ht="15.75">
      <c r="B2" s="13" t="s">
        <v>178</v>
      </c>
      <c r="C2" s="4" t="s">
        <v>158</v>
      </c>
      <c r="D2" s="2">
        <v>85</v>
      </c>
      <c r="E2" s="2" t="s">
        <v>74</v>
      </c>
    </row>
    <row r="3" spans="3:5" ht="15.75">
      <c r="C3" s="4" t="s">
        <v>160</v>
      </c>
      <c r="D3" s="2">
        <v>0.22</v>
      </c>
      <c r="E3" s="2" t="s">
        <v>162</v>
      </c>
    </row>
    <row r="4" spans="3:4" ht="15.75">
      <c r="C4" s="4" t="s">
        <v>161</v>
      </c>
      <c r="D4" s="2">
        <v>3</v>
      </c>
    </row>
    <row r="5" spans="3:5" ht="15.75">
      <c r="C5" s="4" t="s">
        <v>159</v>
      </c>
      <c r="D5" s="9">
        <f>D3/D4</f>
        <v>0.07333333333333333</v>
      </c>
      <c r="E5" s="2" t="s">
        <v>162</v>
      </c>
    </row>
    <row r="6" spans="3:5" ht="15.75">
      <c r="C6" s="4" t="s">
        <v>167</v>
      </c>
      <c r="D6" s="2">
        <v>7</v>
      </c>
      <c r="E6" s="2" t="s">
        <v>40</v>
      </c>
    </row>
    <row r="7" spans="3:9" ht="15.75">
      <c r="C7" s="4" t="s">
        <v>173</v>
      </c>
      <c r="D7" s="16">
        <f>D5*D6/(D2*0.000001)</f>
        <v>6039.21568627451</v>
      </c>
      <c r="E7" s="2" t="s">
        <v>67</v>
      </c>
      <c r="F7" s="2" t="s">
        <v>168</v>
      </c>
      <c r="G7" s="2">
        <v>560</v>
      </c>
      <c r="H7" s="4" t="s">
        <v>167</v>
      </c>
      <c r="I7" s="9">
        <f>G7*D2*0.000001/D5</f>
        <v>0.649090909090909</v>
      </c>
    </row>
    <row r="8" spans="3:5" ht="15.75">
      <c r="C8" s="4" t="s">
        <v>169</v>
      </c>
      <c r="D8" s="2">
        <v>5.1</v>
      </c>
      <c r="E8" s="2" t="s">
        <v>39</v>
      </c>
    </row>
    <row r="9" spans="3:6" ht="15.75">
      <c r="C9" s="4" t="s">
        <v>172</v>
      </c>
      <c r="D9" s="2">
        <v>5100</v>
      </c>
      <c r="E9" s="2" t="s">
        <v>67</v>
      </c>
      <c r="F9" s="2" t="s">
        <v>170</v>
      </c>
    </row>
    <row r="10" spans="3:5" ht="15.75">
      <c r="C10" s="4" t="s">
        <v>171</v>
      </c>
      <c r="D10" s="2">
        <f>D8/D9</f>
        <v>0.001</v>
      </c>
      <c r="E10" s="2" t="s">
        <v>40</v>
      </c>
    </row>
    <row r="11" spans="3:6" ht="15.75">
      <c r="C11" s="4" t="s">
        <v>173</v>
      </c>
      <c r="D11" s="2">
        <v>560</v>
      </c>
      <c r="E11" s="2" t="s">
        <v>67</v>
      </c>
      <c r="F11" s="2" t="s">
        <v>176</v>
      </c>
    </row>
    <row r="12" spans="3:5" ht="15.75">
      <c r="C12" s="4" t="s">
        <v>174</v>
      </c>
      <c r="D12" s="2">
        <f>D11*D10</f>
        <v>0.56</v>
      </c>
      <c r="E12" s="2" t="s">
        <v>39</v>
      </c>
    </row>
    <row r="13" spans="3:5" ht="15.75">
      <c r="C13" s="4" t="s">
        <v>175</v>
      </c>
      <c r="D13" s="9">
        <f>D12/D5</f>
        <v>7.636363636363637</v>
      </c>
      <c r="E13" s="2" t="s">
        <v>40</v>
      </c>
    </row>
    <row r="14" spans="2:6" ht="15.75">
      <c r="B14" s="13" t="s">
        <v>177</v>
      </c>
      <c r="D14" s="42" t="s">
        <v>180</v>
      </c>
      <c r="E14" s="44" t="s">
        <v>181</v>
      </c>
      <c r="F14" s="51" t="s">
        <v>191</v>
      </c>
    </row>
    <row r="15" spans="3:7" ht="15.75">
      <c r="C15" s="4" t="s">
        <v>33</v>
      </c>
      <c r="D15" s="42">
        <f>'12VAC-30VDC'!D7</f>
        <v>30</v>
      </c>
      <c r="E15" s="44">
        <f>'PFC 400V-200W'!D7</f>
        <v>400</v>
      </c>
      <c r="F15" s="51">
        <v>45</v>
      </c>
      <c r="G15" s="2" t="s">
        <v>39</v>
      </c>
    </row>
    <row r="16" spans="3:7" ht="15.75">
      <c r="C16" s="4" t="s">
        <v>106</v>
      </c>
      <c r="D16" s="42">
        <f>'12VAC-30VDC'!D10</f>
        <v>5</v>
      </c>
      <c r="E16" s="44">
        <f>'PFC 400V-200W'!D10</f>
        <v>50</v>
      </c>
      <c r="F16" s="51">
        <v>5</v>
      </c>
      <c r="G16" s="2" t="s">
        <v>39</v>
      </c>
    </row>
    <row r="17" spans="3:7" ht="15.75">
      <c r="C17" s="4" t="s">
        <v>179</v>
      </c>
      <c r="D17" s="43">
        <f>(D15+D16)/5.1-1</f>
        <v>5.862745098039216</v>
      </c>
      <c r="E17" s="45">
        <f>(E15+E16)/5.1-1</f>
        <v>87.23529411764706</v>
      </c>
      <c r="F17" s="52">
        <f>(F15+F16)/5.1-1</f>
        <v>8.803921568627452</v>
      </c>
      <c r="G17" s="2"/>
    </row>
    <row r="18" spans="3:7" ht="15.75">
      <c r="C18" s="4" t="s">
        <v>182</v>
      </c>
      <c r="D18" s="42">
        <v>62</v>
      </c>
      <c r="E18" s="44">
        <f>910+910</f>
        <v>1820</v>
      </c>
      <c r="F18" s="51">
        <v>120</v>
      </c>
      <c r="G18" s="2" t="s">
        <v>185</v>
      </c>
    </row>
    <row r="19" spans="3:7" ht="15.75">
      <c r="C19" s="4" t="s">
        <v>183</v>
      </c>
      <c r="D19" s="42">
        <v>10</v>
      </c>
      <c r="E19" s="44">
        <v>21</v>
      </c>
      <c r="F19" s="51">
        <v>13</v>
      </c>
      <c r="G19" s="2" t="s">
        <v>184</v>
      </c>
    </row>
    <row r="20" spans="3:7" ht="15.75">
      <c r="C20" s="4" t="s">
        <v>179</v>
      </c>
      <c r="D20" s="42">
        <f>D18/D19</f>
        <v>6.2</v>
      </c>
      <c r="E20" s="45">
        <f>E18/E19</f>
        <v>86.66666666666667</v>
      </c>
      <c r="F20" s="52">
        <f>F18/F19</f>
        <v>9.23076923076923</v>
      </c>
      <c r="G20" s="2"/>
    </row>
    <row r="21" spans="3:7" ht="15.75">
      <c r="C21" s="4" t="s">
        <v>186</v>
      </c>
      <c r="D21" s="42">
        <f>5.1*(1+D18/D19)</f>
        <v>36.72</v>
      </c>
      <c r="E21" s="44">
        <f>5.1*(1+E18/E19)</f>
        <v>447.09999999999997</v>
      </c>
      <c r="F21" s="52">
        <f>5.1*(1+F18/F19)</f>
        <v>52.17692307692307</v>
      </c>
      <c r="G21" s="2" t="s">
        <v>39</v>
      </c>
    </row>
    <row r="22" spans="2:7" ht="15.75">
      <c r="B22" s="13" t="s">
        <v>187</v>
      </c>
      <c r="C22" s="4" t="s">
        <v>188</v>
      </c>
      <c r="D22" s="43">
        <f>'12VAC-30VDC'!F6</f>
        <v>19.516147160748712</v>
      </c>
      <c r="E22" s="46">
        <f>'PFC 400V-200W'!F6</f>
        <v>373.408949008992</v>
      </c>
      <c r="F22" s="50">
        <f>'PCF 24VAC-45VDC'!C10</f>
        <v>39.032294321497425</v>
      </c>
      <c r="G22" s="2" t="s">
        <v>39</v>
      </c>
    </row>
    <row r="23" spans="3:7" ht="15.75">
      <c r="C23" s="4" t="s">
        <v>189</v>
      </c>
      <c r="D23" s="48">
        <v>100000</v>
      </c>
      <c r="E23" s="47">
        <f>2*806000</f>
        <v>1612000</v>
      </c>
      <c r="F23" s="53">
        <v>100000</v>
      </c>
      <c r="G23" s="2" t="s">
        <v>190</v>
      </c>
    </row>
    <row r="24" spans="3:7" ht="15.75">
      <c r="C24" s="4" t="s">
        <v>192</v>
      </c>
      <c r="D24" s="49">
        <f>D22/D23*1000000</f>
        <v>195.16147160748713</v>
      </c>
      <c r="E24" s="46">
        <f>E22/E23*1000000</f>
        <v>231.643268616</v>
      </c>
      <c r="F24" s="50">
        <f>F22/F23*1000000</f>
        <v>390.32294321497426</v>
      </c>
      <c r="G24" s="2" t="s">
        <v>74</v>
      </c>
    </row>
    <row r="25" spans="2:7" ht="15.75">
      <c r="B25" s="13" t="s">
        <v>193</v>
      </c>
      <c r="C25" s="4" t="s">
        <v>107</v>
      </c>
      <c r="D25" s="54">
        <f>'12VAC-30VDC'!D11</f>
        <v>100000</v>
      </c>
      <c r="E25" s="17">
        <f>'PFC 400V-200W'!D11</f>
        <v>100000</v>
      </c>
      <c r="F25" s="17">
        <f>'PCF 24VAC-45VDC'!C13</f>
        <v>100000</v>
      </c>
      <c r="G25" s="2" t="s">
        <v>63</v>
      </c>
    </row>
    <row r="26" spans="3:7" ht="15.75">
      <c r="C26" s="4" t="s">
        <v>194</v>
      </c>
      <c r="D26" s="2">
        <v>5</v>
      </c>
      <c r="E26" s="2">
        <v>5</v>
      </c>
      <c r="F26" s="2">
        <v>5</v>
      </c>
      <c r="G26" s="2" t="s">
        <v>39</v>
      </c>
    </row>
    <row r="27" spans="3:7" ht="15.75">
      <c r="C27" s="4" t="s">
        <v>159</v>
      </c>
      <c r="D27" s="9">
        <f>D5</f>
        <v>0.07333333333333333</v>
      </c>
      <c r="E27" s="9">
        <f>D5</f>
        <v>0.07333333333333333</v>
      </c>
      <c r="F27" s="2">
        <v>0.015</v>
      </c>
      <c r="G27" s="2" t="s">
        <v>162</v>
      </c>
    </row>
    <row r="28" spans="3:7" ht="15.75">
      <c r="C28" s="4" t="s">
        <v>55</v>
      </c>
      <c r="D28" s="2">
        <v>220</v>
      </c>
      <c r="E28" s="2">
        <v>700</v>
      </c>
      <c r="F28" s="2">
        <v>40</v>
      </c>
      <c r="G28" s="2" t="s">
        <v>57</v>
      </c>
    </row>
    <row r="29" spans="3:6" ht="15.75">
      <c r="C29" s="4" t="s">
        <v>196</v>
      </c>
      <c r="D29" s="3">
        <f>D26*D25*D28*0.000001/(D15*D27)-1</f>
        <v>48.99999999999999</v>
      </c>
      <c r="E29" s="3">
        <f>E26*E25*E28*0.000001/(E15*E27)-1</f>
        <v>10.931818181818182</v>
      </c>
      <c r="F29" s="3">
        <f>F26*F25*F28*0.000001/(F15*F27)-1</f>
        <v>28.629629629629633</v>
      </c>
    </row>
    <row r="30" spans="3:7" ht="15.75">
      <c r="C30" s="4" t="s">
        <v>197</v>
      </c>
      <c r="D30" s="2">
        <v>2.7</v>
      </c>
      <c r="E30" s="2">
        <v>2.7</v>
      </c>
      <c r="F30" s="2">
        <v>4.7</v>
      </c>
      <c r="G30" s="2" t="s">
        <v>199</v>
      </c>
    </row>
    <row r="31" spans="3:7" ht="15.75">
      <c r="C31" s="4" t="s">
        <v>198</v>
      </c>
      <c r="D31" s="2">
        <v>27</v>
      </c>
      <c r="E31" s="2">
        <v>27</v>
      </c>
      <c r="F31" s="2">
        <v>5.1</v>
      </c>
      <c r="G31" s="2" t="s">
        <v>200</v>
      </c>
    </row>
    <row r="32" spans="3:6" ht="15.75">
      <c r="C32" s="4" t="s">
        <v>195</v>
      </c>
      <c r="D32" s="2">
        <f>D31/D30</f>
        <v>10</v>
      </c>
      <c r="E32" s="2">
        <f>E31/E30</f>
        <v>10</v>
      </c>
      <c r="F32" s="3">
        <f>F31/F30</f>
        <v>1.0851063829787233</v>
      </c>
    </row>
    <row r="33" spans="3:7" ht="15.75">
      <c r="C33" s="4" t="s">
        <v>201</v>
      </c>
      <c r="D33" s="12">
        <f>2/(D31*1000*D25)*1000000000000</f>
        <v>740.7407407407408</v>
      </c>
      <c r="E33" s="12">
        <f>2/(E31*1000*E25)*1000000000000</f>
        <v>740.7407407407408</v>
      </c>
      <c r="F33" s="12">
        <f>2/(F31*1000*F25)*1000000000000</f>
        <v>3921.5686274509803</v>
      </c>
      <c r="G33" s="2" t="s">
        <v>138</v>
      </c>
    </row>
    <row r="34" spans="3:7" ht="15.75">
      <c r="C34" s="4" t="s">
        <v>202</v>
      </c>
      <c r="D34" s="2">
        <v>1000</v>
      </c>
      <c r="E34" s="2">
        <v>1000</v>
      </c>
      <c r="F34" s="2">
        <v>220</v>
      </c>
      <c r="G34" s="2" t="s">
        <v>138</v>
      </c>
    </row>
    <row r="35" spans="2:3" ht="15.75">
      <c r="B35" s="13" t="s">
        <v>203</v>
      </c>
      <c r="C35" s="55" t="s">
        <v>204</v>
      </c>
    </row>
    <row r="36" spans="2:3" ht="15.75">
      <c r="B36" s="13" t="s">
        <v>205</v>
      </c>
      <c r="C36" s="55" t="s">
        <v>204</v>
      </c>
    </row>
    <row r="37" spans="2:7" ht="15.75">
      <c r="B37" s="13" t="s">
        <v>206</v>
      </c>
      <c r="C37" s="4" t="s">
        <v>207</v>
      </c>
      <c r="D37" s="2">
        <v>5.5</v>
      </c>
      <c r="E37" s="2">
        <v>5.5</v>
      </c>
      <c r="F37" s="2">
        <v>5.5</v>
      </c>
      <c r="G37" t="s">
        <v>39</v>
      </c>
    </row>
    <row r="38" spans="3:7" ht="15.75">
      <c r="C38" s="4" t="s">
        <v>208</v>
      </c>
      <c r="D38" s="2">
        <v>5.1</v>
      </c>
      <c r="E38" s="2">
        <v>5.1</v>
      </c>
      <c r="F38" s="2">
        <v>5.1</v>
      </c>
      <c r="G38" t="s">
        <v>39</v>
      </c>
    </row>
    <row r="39" spans="3:7" ht="15.75">
      <c r="C39" s="4" t="s">
        <v>209</v>
      </c>
      <c r="D39" s="2">
        <v>5.1</v>
      </c>
      <c r="E39" s="2">
        <v>5.1</v>
      </c>
      <c r="F39" s="2">
        <v>5.1</v>
      </c>
      <c r="G39" t="s">
        <v>39</v>
      </c>
    </row>
    <row r="40" spans="3:7" ht="15.75">
      <c r="C40" s="4" t="s">
        <v>210</v>
      </c>
      <c r="D40" s="3">
        <f>0.37*D24*(D37-1.28)*(0.8*D38-1.28)/D39^2</f>
        <v>32.803934677055175</v>
      </c>
      <c r="E40" s="3">
        <f>0.37*E24*(E37-1.28)*(0.8*E38-1.28)/E39^2</f>
        <v>38.936018413212715</v>
      </c>
      <c r="F40" s="3">
        <f>0.37*F24*(F37-1.28)*(0.8*F38-1.28)/F39^2</f>
        <v>65.60786935411035</v>
      </c>
      <c r="G40" t="s">
        <v>74</v>
      </c>
    </row>
    <row r="41" spans="3:7" ht="15.75">
      <c r="C41" s="4" t="s">
        <v>175</v>
      </c>
      <c r="D41" s="3">
        <f>'12VAC-30VDC'!D32</f>
        <v>4.28178846739259</v>
      </c>
      <c r="E41" s="3">
        <f>'PFC 400V-200W'!D32</f>
        <v>4.821182598999188</v>
      </c>
      <c r="F41" s="3">
        <f>'PCF 24VAC-45VDC'!C12</f>
        <v>8.838834764831844</v>
      </c>
      <c r="G41" t="s">
        <v>40</v>
      </c>
    </row>
    <row r="42" spans="3:7" ht="15.75">
      <c r="C42" s="4" t="s">
        <v>211</v>
      </c>
      <c r="D42" s="16">
        <f>D27*D41/(D40*0.000001)</f>
        <v>9571.956048362397</v>
      </c>
      <c r="E42" s="16">
        <f>E27*E41/(E40*0.000001)</f>
        <v>9080.368383874029</v>
      </c>
      <c r="F42" s="16">
        <f>F27*F41/(F40*0.000001)</f>
        <v>2020.8326040414438</v>
      </c>
      <c r="G42" t="s">
        <v>67</v>
      </c>
    </row>
    <row r="43" spans="3:7" ht="15.75">
      <c r="C43" s="4" t="s">
        <v>211</v>
      </c>
      <c r="D43" s="2">
        <v>2700</v>
      </c>
      <c r="E43" s="2">
        <v>2700</v>
      </c>
      <c r="F43" s="2">
        <v>4700</v>
      </c>
      <c r="G43" t="s">
        <v>213</v>
      </c>
    </row>
    <row r="44" spans="2:7" ht="15.75">
      <c r="B44" s="13" t="s">
        <v>214</v>
      </c>
      <c r="C44" s="4" t="s">
        <v>207</v>
      </c>
      <c r="D44" s="2">
        <v>5.1</v>
      </c>
      <c r="E44" s="2">
        <v>5.1</v>
      </c>
      <c r="F44" s="2">
        <v>5.1</v>
      </c>
      <c r="G44" t="s">
        <v>39</v>
      </c>
    </row>
    <row r="45" spans="3:7" ht="15.75">
      <c r="C45" s="4" t="s">
        <v>215</v>
      </c>
      <c r="D45" s="2">
        <v>100</v>
      </c>
      <c r="E45" s="2">
        <v>100</v>
      </c>
      <c r="F45" s="2">
        <v>100</v>
      </c>
      <c r="G45" t="s">
        <v>74</v>
      </c>
    </row>
    <row r="46" spans="3:7" ht="15.75">
      <c r="C46" s="4" t="s">
        <v>216</v>
      </c>
      <c r="D46" s="2">
        <v>1</v>
      </c>
      <c r="E46" s="2">
        <v>1</v>
      </c>
      <c r="F46" s="2">
        <v>1</v>
      </c>
      <c r="G46" t="s">
        <v>120</v>
      </c>
    </row>
    <row r="47" spans="3:7" ht="15.75">
      <c r="C47" s="4" t="s">
        <v>217</v>
      </c>
      <c r="D47" s="2">
        <f>D46*D44/D45</f>
        <v>0.051</v>
      </c>
      <c r="E47" s="2">
        <f>E46*E44/E45</f>
        <v>0.051</v>
      </c>
      <c r="F47" s="2">
        <f>F46*F44/F45</f>
        <v>0.051</v>
      </c>
      <c r="G47" t="s">
        <v>126</v>
      </c>
    </row>
    <row r="48" spans="2:5" ht="15.75">
      <c r="B48" s="13" t="s">
        <v>218</v>
      </c>
      <c r="C48" s="4" t="s">
        <v>219</v>
      </c>
      <c r="D48" s="2">
        <v>1.28</v>
      </c>
      <c r="E48" s="2" t="s">
        <v>39</v>
      </c>
    </row>
    <row r="49" spans="3:5" ht="15.75">
      <c r="C49" s="4" t="s">
        <v>220</v>
      </c>
      <c r="D49" s="2">
        <v>5.1</v>
      </c>
      <c r="E49" s="2" t="s">
        <v>39</v>
      </c>
    </row>
    <row r="50" spans="3:5" ht="15.75">
      <c r="C50" s="4" t="s">
        <v>207</v>
      </c>
      <c r="D50" s="3">
        <v>3.82</v>
      </c>
      <c r="E50" s="2" t="s">
        <v>39</v>
      </c>
    </row>
    <row r="51" spans="3:4" ht="15.75">
      <c r="C51" s="4" t="s">
        <v>221</v>
      </c>
      <c r="D51" s="23">
        <v>0.025</v>
      </c>
    </row>
    <row r="52" spans="3:5" ht="15.75">
      <c r="C52" s="4" t="s">
        <v>222</v>
      </c>
      <c r="D52" s="2">
        <f>D50*D51</f>
        <v>0.0955</v>
      </c>
      <c r="E52" s="2" t="s">
        <v>39</v>
      </c>
    </row>
    <row r="53" spans="3:7" ht="15.75">
      <c r="C53" s="4" t="s">
        <v>223</v>
      </c>
      <c r="D53" s="2">
        <f>D16</f>
        <v>5</v>
      </c>
      <c r="E53" s="2">
        <f>E16</f>
        <v>50</v>
      </c>
      <c r="F53" s="2">
        <f>F16</f>
        <v>5</v>
      </c>
      <c r="G53" t="s">
        <v>39</v>
      </c>
    </row>
    <row r="54" spans="3:6" ht="15.75">
      <c r="C54" s="4" t="s">
        <v>224</v>
      </c>
      <c r="D54" s="2">
        <f>$D$52/D53</f>
        <v>0.0191</v>
      </c>
      <c r="E54" s="2">
        <f>$D$52/E53</f>
        <v>0.00191</v>
      </c>
      <c r="F54" s="2">
        <f>$D$52/F53</f>
        <v>0.0191</v>
      </c>
    </row>
    <row r="55" spans="3:7" ht="15.75">
      <c r="C55" s="4" t="s">
        <v>226</v>
      </c>
      <c r="D55" s="17">
        <v>100000</v>
      </c>
      <c r="E55" s="17">
        <f>2*412000</f>
        <v>824000</v>
      </c>
      <c r="F55" s="17">
        <v>100000</v>
      </c>
      <c r="G55" t="s">
        <v>225</v>
      </c>
    </row>
    <row r="56" spans="3:7" ht="15.75">
      <c r="C56" s="4" t="s">
        <v>77</v>
      </c>
      <c r="D56" s="17">
        <v>130000</v>
      </c>
      <c r="E56" s="17">
        <v>11000</v>
      </c>
      <c r="F56" s="17">
        <v>130000</v>
      </c>
      <c r="G56" t="s">
        <v>227</v>
      </c>
    </row>
    <row r="60" spans="3:6" ht="15.75">
      <c r="C60" s="4" t="s">
        <v>230</v>
      </c>
      <c r="D60" s="17">
        <v>100000</v>
      </c>
      <c r="E60" s="17">
        <v>120000</v>
      </c>
      <c r="F60" s="17">
        <v>100000</v>
      </c>
    </row>
    <row r="61" spans="2:6" ht="15.75">
      <c r="B61" s="13" t="s">
        <v>228</v>
      </c>
      <c r="C61" s="4" t="s">
        <v>229</v>
      </c>
      <c r="D61" s="9">
        <f>D15/5.1-1</f>
        <v>4.882352941176471</v>
      </c>
      <c r="E61" s="9">
        <f>E15/5.1-1</f>
        <v>77.43137254901961</v>
      </c>
      <c r="F61" s="9">
        <f>F15/5.1-1</f>
        <v>7.8235294117647065</v>
      </c>
    </row>
    <row r="62" spans="3:6" ht="15.75">
      <c r="C62" s="4" t="s">
        <v>77</v>
      </c>
      <c r="D62" s="16">
        <f>D55/D61</f>
        <v>20481.92771084337</v>
      </c>
      <c r="E62" s="16">
        <f>E55/E61</f>
        <v>10641.68143833882</v>
      </c>
      <c r="F62" s="16">
        <f>F55/F61</f>
        <v>12781.954887218044</v>
      </c>
    </row>
    <row r="63" spans="3:6" ht="15.75">
      <c r="C63" s="4" t="s">
        <v>106</v>
      </c>
      <c r="D63" s="56">
        <f>$D$52*D55/D60</f>
        <v>0.0955</v>
      </c>
      <c r="E63" s="56">
        <f>$D$52*E55/E60</f>
        <v>0.6557666666666667</v>
      </c>
      <c r="F63" s="56">
        <f>$D$52*F55/F60</f>
        <v>0.0955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G72"/>
  <sheetViews>
    <sheetView workbookViewId="0" topLeftCell="A22">
      <pane ySplit="4095" topLeftCell="BM25" activePane="topLeft" state="split"/>
      <selection pane="topLeft" activeCell="D13" sqref="D13"/>
      <selection pane="bottomLeft" activeCell="E29" sqref="E29"/>
    </sheetView>
  </sheetViews>
  <sheetFormatPr defaultColWidth="11.00390625" defaultRowHeight="15.75"/>
  <cols>
    <col min="1" max="1" width="5.125" style="0" customWidth="1"/>
    <col min="2" max="2" width="4.625" style="2" customWidth="1"/>
    <col min="3" max="3" width="20.375" style="4" customWidth="1"/>
    <col min="4" max="4" width="13.125" style="2" bestFit="1" customWidth="1"/>
    <col min="5" max="6" width="11.00390625" style="2" customWidth="1"/>
  </cols>
  <sheetData>
    <row r="1" ht="20.25">
      <c r="A1" s="1" t="s">
        <v>82</v>
      </c>
    </row>
    <row r="2" spans="3:5" ht="15.75">
      <c r="C2" s="4" t="s">
        <v>119</v>
      </c>
      <c r="D2" s="2">
        <v>50</v>
      </c>
      <c r="E2" s="2" t="s">
        <v>63</v>
      </c>
    </row>
    <row r="3" spans="3:7" ht="15.75">
      <c r="C3" s="4" t="s">
        <v>48</v>
      </c>
      <c r="D3" s="2">
        <v>12</v>
      </c>
      <c r="E3" s="2">
        <v>12</v>
      </c>
      <c r="F3" s="2">
        <v>12</v>
      </c>
      <c r="G3" t="s">
        <v>39</v>
      </c>
    </row>
    <row r="4" spans="1:6" ht="15.75">
      <c r="A4" s="4"/>
      <c r="C4" s="4" t="s">
        <v>103</v>
      </c>
      <c r="D4" s="7">
        <v>-0.15</v>
      </c>
      <c r="E4" s="7">
        <v>0</v>
      </c>
      <c r="F4" s="23">
        <v>0.15</v>
      </c>
    </row>
    <row r="5" spans="1:7" ht="15.75">
      <c r="A5" s="4"/>
      <c r="C5" s="4" t="s">
        <v>104</v>
      </c>
      <c r="D5" s="2">
        <f>D3*(1+D4)</f>
        <v>10.2</v>
      </c>
      <c r="E5" s="2">
        <f>E3*(1+E4)</f>
        <v>12</v>
      </c>
      <c r="F5" s="12">
        <f>F3*(1+F4)</f>
        <v>13.799999999999999</v>
      </c>
      <c r="G5" t="s">
        <v>39</v>
      </c>
    </row>
    <row r="6" spans="1:7" ht="15.75">
      <c r="A6" s="4"/>
      <c r="C6" s="4" t="s">
        <v>105</v>
      </c>
      <c r="D6" s="12">
        <f>D5*SQRT(2)</f>
        <v>14.42497833620557</v>
      </c>
      <c r="E6" s="12">
        <f>E5*SQRT(2)</f>
        <v>16.970562748477143</v>
      </c>
      <c r="F6" s="12">
        <f>F5*SQRT(2)</f>
        <v>19.516147160748712</v>
      </c>
      <c r="G6" t="s">
        <v>39</v>
      </c>
    </row>
    <row r="7" spans="1:5" ht="15.75">
      <c r="A7" s="4"/>
      <c r="C7" s="4" t="s">
        <v>33</v>
      </c>
      <c r="D7" s="2">
        <v>30</v>
      </c>
      <c r="E7" s="2" t="s">
        <v>39</v>
      </c>
    </row>
    <row r="8" spans="1:5" ht="15.75">
      <c r="A8" s="4"/>
      <c r="C8" s="28" t="s">
        <v>44</v>
      </c>
      <c r="D8" s="2">
        <v>25</v>
      </c>
      <c r="E8" s="2" t="s">
        <v>41</v>
      </c>
    </row>
    <row r="9" spans="1:5" ht="15.75">
      <c r="A9" s="4"/>
      <c r="C9" s="28" t="s">
        <v>87</v>
      </c>
      <c r="D9" s="2">
        <v>1</v>
      </c>
      <c r="E9" s="2" t="s">
        <v>39</v>
      </c>
    </row>
    <row r="10" spans="1:5" ht="15.75">
      <c r="A10" s="4"/>
      <c r="C10" s="29" t="s">
        <v>106</v>
      </c>
      <c r="D10" s="2">
        <v>5</v>
      </c>
      <c r="E10" s="2" t="s">
        <v>39</v>
      </c>
    </row>
    <row r="11" spans="1:5" ht="15.75">
      <c r="A11" s="4"/>
      <c r="C11" s="28" t="s">
        <v>107</v>
      </c>
      <c r="D11" s="40">
        <v>100000</v>
      </c>
      <c r="E11" s="2" t="s">
        <v>63</v>
      </c>
    </row>
    <row r="12" spans="1:4" ht="15.75">
      <c r="A12" s="4"/>
      <c r="C12" s="28" t="s">
        <v>111</v>
      </c>
      <c r="D12" s="7">
        <v>0.05</v>
      </c>
    </row>
    <row r="13" spans="1:4" ht="15.75">
      <c r="A13" s="4"/>
      <c r="C13" s="28" t="s">
        <v>108</v>
      </c>
      <c r="D13" s="7">
        <v>0.85</v>
      </c>
    </row>
    <row r="14" spans="1:3" ht="20.25">
      <c r="A14" s="25" t="s">
        <v>152</v>
      </c>
      <c r="C14" s="30"/>
    </row>
    <row r="15" spans="1:4" ht="15.75">
      <c r="A15" s="4"/>
      <c r="C15" s="30" t="s">
        <v>43</v>
      </c>
      <c r="D15" s="7">
        <v>1</v>
      </c>
    </row>
    <row r="16" spans="1:5" ht="15.75">
      <c r="A16" s="4"/>
      <c r="C16" s="30" t="s">
        <v>87</v>
      </c>
      <c r="D16" s="27">
        <v>0</v>
      </c>
      <c r="E16" s="2" t="s">
        <v>39</v>
      </c>
    </row>
    <row r="17" spans="1:5" ht="15.75">
      <c r="A17" s="4"/>
      <c r="C17" s="30" t="s">
        <v>89</v>
      </c>
      <c r="D17" s="27">
        <v>0</v>
      </c>
      <c r="E17" s="2" t="s">
        <v>40</v>
      </c>
    </row>
    <row r="18" spans="1:5" ht="15.75">
      <c r="A18" s="4"/>
      <c r="C18" s="30" t="s">
        <v>45</v>
      </c>
      <c r="D18" s="9">
        <f>D8/D7</f>
        <v>0.8333333333333334</v>
      </c>
      <c r="E18" s="2" t="s">
        <v>40</v>
      </c>
    </row>
    <row r="19" spans="1:7" ht="15.75">
      <c r="A19" s="4"/>
      <c r="C19" s="30" t="s">
        <v>90</v>
      </c>
      <c r="D19" s="9">
        <f>$D$8/D5</f>
        <v>2.450980392156863</v>
      </c>
      <c r="E19" s="9">
        <f>$D$8/E5</f>
        <v>2.0833333333333335</v>
      </c>
      <c r="F19" s="9">
        <f>$D$8/F5</f>
        <v>1.8115942028985508</v>
      </c>
      <c r="G19" t="s">
        <v>40</v>
      </c>
    </row>
    <row r="20" spans="1:6" ht="15.75">
      <c r="A20" s="4"/>
      <c r="C20" s="30" t="s">
        <v>88</v>
      </c>
      <c r="D20" s="9">
        <f>SQRT(2)*D19</f>
        <v>3.4662097116987627</v>
      </c>
      <c r="E20" s="9">
        <f>SQRT(2)*E19</f>
        <v>2.9462782549439486</v>
      </c>
      <c r="F20" s="9">
        <f>SQRT(2)*F19</f>
        <v>2.5619810912556074</v>
      </c>
    </row>
    <row r="21" spans="1:7" ht="15.75">
      <c r="A21" s="4"/>
      <c r="C21" s="30" t="s">
        <v>146</v>
      </c>
      <c r="D21" s="9">
        <f>$D$8/D6*SQRT(2-16*D6/(3*PI()*$D$7))</f>
        <v>1.8855935572486047</v>
      </c>
      <c r="E21" s="9">
        <f>$D$8/E6*SQRT(2-16*E6/(3*PI()*$D$7))</f>
        <v>1.502069316349219</v>
      </c>
      <c r="F21" s="9">
        <f>$D$8/F6*SQRT(2-16*F6/(3*PI()*$D$7))</f>
        <v>1.2122881859675665</v>
      </c>
      <c r="G21" t="s">
        <v>40</v>
      </c>
    </row>
    <row r="22" spans="1:5" ht="15.75">
      <c r="A22" s="4"/>
      <c r="C22" s="30" t="s">
        <v>91</v>
      </c>
      <c r="D22" s="9">
        <f>D18</f>
        <v>0.8333333333333334</v>
      </c>
      <c r="E22" s="2" t="s">
        <v>40</v>
      </c>
    </row>
    <row r="23" spans="1:5" ht="15.75">
      <c r="A23" s="4"/>
      <c r="C23" s="30" t="s">
        <v>147</v>
      </c>
      <c r="D23" s="3">
        <f>D8/D6*SQRT(16*D6/(3*PI()*D7))</f>
        <v>1.5658358214065617</v>
      </c>
      <c r="E23" s="2" t="s">
        <v>40</v>
      </c>
    </row>
    <row r="24" spans="1:7" ht="15.75">
      <c r="A24" s="4"/>
      <c r="C24" s="30" t="s">
        <v>92</v>
      </c>
      <c r="D24" s="9">
        <f>$D$18*SQRT(16*$D$7/(3*PI()*D5*SQRT(2))-1)</f>
        <v>1.3256686520980716</v>
      </c>
      <c r="E24" s="9">
        <f>$D$18*SQRT(16*$D$7/(3*PI()*E5*SQRT(2))-1)</f>
        <v>1.1788219128500808</v>
      </c>
      <c r="F24" s="9">
        <f>$D$18*SQRT(16*$D$7/(3*PI()*F5*SQRT(2))-1)</f>
        <v>1.0572542105353178</v>
      </c>
      <c r="G24" t="s">
        <v>40</v>
      </c>
    </row>
    <row r="25" spans="1:5" ht="15.75">
      <c r="A25" s="4"/>
      <c r="C25" s="30" t="s">
        <v>93</v>
      </c>
      <c r="D25" s="9">
        <f>D18/SQRT(2)</f>
        <v>0.5892556509887896</v>
      </c>
      <c r="E25" s="2" t="s">
        <v>40</v>
      </c>
    </row>
    <row r="26" spans="1:7" ht="15.75">
      <c r="A26" s="4"/>
      <c r="C26" s="30" t="s">
        <v>94</v>
      </c>
      <c r="D26" s="9">
        <f>$D$18*SQRT(16*$D$7/(3*PI()*D5*SQRT(2))-1.5)</f>
        <v>1.1875079591031361</v>
      </c>
      <c r="E26" s="9">
        <f>$D$18*SQRT(16*$D$7/(3*PI()*E5*SQRT(2))-1.5)</f>
        <v>1.0209793729519225</v>
      </c>
      <c r="F26" s="9">
        <f>$D$18*SQRT(16*$D$7/(3*PI()*F5*SQRT(2))-1.5)</f>
        <v>0.8778178874188175</v>
      </c>
      <c r="G26" t="s">
        <v>40</v>
      </c>
    </row>
    <row r="27" spans="1:6" ht="20.25">
      <c r="A27" s="25" t="s">
        <v>100</v>
      </c>
      <c r="C27" s="30"/>
      <c r="D27" s="9"/>
      <c r="E27" s="9"/>
      <c r="F27" s="9"/>
    </row>
    <row r="28" spans="1:6" ht="15.75">
      <c r="A28" s="4"/>
      <c r="C28" s="30" t="s">
        <v>102</v>
      </c>
      <c r="D28" s="12">
        <f>D8/D13</f>
        <v>29.411764705882355</v>
      </c>
      <c r="E28" s="9" t="s">
        <v>41</v>
      </c>
      <c r="F28" s="9"/>
    </row>
    <row r="29" spans="1:7" ht="15.75">
      <c r="A29" s="4"/>
      <c r="C29" s="30" t="s">
        <v>109</v>
      </c>
      <c r="D29" s="9">
        <f>$D$28/D5</f>
        <v>2.8835063437139565</v>
      </c>
      <c r="E29" s="9">
        <f>$D$28/E5</f>
        <v>2.450980392156863</v>
      </c>
      <c r="F29" s="9">
        <f>$D$28/F5</f>
        <v>2.131287297527707</v>
      </c>
      <c r="G29" t="s">
        <v>40</v>
      </c>
    </row>
    <row r="30" spans="1:7" ht="15.75">
      <c r="A30" s="4"/>
      <c r="C30" s="30" t="s">
        <v>110</v>
      </c>
      <c r="D30" s="9">
        <f>D29*SQRT(2)</f>
        <v>4.077893778469133</v>
      </c>
      <c r="E30" s="9">
        <f>E29*SQRT(2)</f>
        <v>3.4662097116987627</v>
      </c>
      <c r="F30" s="9">
        <f>F29*SQRT(2)</f>
        <v>3.014095401477185</v>
      </c>
      <c r="G30" t="s">
        <v>40</v>
      </c>
    </row>
    <row r="31" spans="1:7" ht="15.75">
      <c r="A31" s="4"/>
      <c r="C31" s="30" t="s">
        <v>89</v>
      </c>
      <c r="D31" s="9">
        <f>D30*$D$12*2</f>
        <v>0.4077893778469133</v>
      </c>
      <c r="E31" s="9">
        <f>E30*$D$12*2</f>
        <v>0.3466209711698763</v>
      </c>
      <c r="F31" s="9">
        <f>F30*$D$12*2</f>
        <v>0.30140954014771854</v>
      </c>
      <c r="G31" t="s">
        <v>40</v>
      </c>
    </row>
    <row r="32" spans="1:7" ht="15.75">
      <c r="A32" s="4"/>
      <c r="C32" s="30" t="s">
        <v>128</v>
      </c>
      <c r="D32" s="9">
        <f>D30+D31/2</f>
        <v>4.28178846739259</v>
      </c>
      <c r="E32" s="9">
        <f>E30+E31/2</f>
        <v>3.639520197283701</v>
      </c>
      <c r="F32" s="9">
        <f>F30+F31/2</f>
        <v>3.164800171551044</v>
      </c>
      <c r="G32" t="s">
        <v>40</v>
      </c>
    </row>
    <row r="33" spans="1:7" ht="15.75">
      <c r="A33" s="4"/>
      <c r="C33" s="30" t="s">
        <v>129</v>
      </c>
      <c r="D33" s="9">
        <f>D32/2*SQRT(2-16*D6/(3*PI()*$D$7))</f>
        <v>2.3292626295423946</v>
      </c>
      <c r="E33" s="9">
        <f>E32/2*SQRT(2-16*E6/(3*PI()*$D$7))</f>
        <v>1.8554973907843297</v>
      </c>
      <c r="F33" s="9">
        <f>F32/2*SQRT(2-16*F6/(3*PI()*$D$7))</f>
        <v>1.4975324650187587</v>
      </c>
      <c r="G33" t="s">
        <v>40</v>
      </c>
    </row>
    <row r="34" spans="1:7" ht="15.75">
      <c r="A34" s="4"/>
      <c r="C34" s="32" t="s">
        <v>130</v>
      </c>
      <c r="D34" s="33">
        <f>$D$28/D6*SQRT(2-16*D6/(3*PI()*$D$7))</f>
        <v>2.2183453614689466</v>
      </c>
      <c r="E34" s="33">
        <f>$D$28/E6*SQRT(2-16*E6/(3*PI()*$D$7))</f>
        <v>1.7671403721755519</v>
      </c>
      <c r="F34" s="33">
        <f>$D$28/F6*SQRT(2-16*F6/(3*PI()*$D$7))</f>
        <v>1.4262213952559604</v>
      </c>
      <c r="G34" s="34" t="s">
        <v>40</v>
      </c>
    </row>
    <row r="35" spans="1:6" s="37" customFormat="1" ht="15.75">
      <c r="A35" s="35"/>
      <c r="B35" s="36"/>
      <c r="C35" s="38" t="s">
        <v>148</v>
      </c>
      <c r="D35" s="39"/>
      <c r="E35" s="39"/>
      <c r="F35" s="39"/>
    </row>
    <row r="36" spans="1:7" ht="15.75">
      <c r="A36" s="4"/>
      <c r="C36" s="32" t="s">
        <v>148</v>
      </c>
      <c r="D36" s="33">
        <f>$D$28/D6*SQRT(16*D6/(3*PI()*$D$7))</f>
        <v>1.8421597898900728</v>
      </c>
      <c r="E36" s="33">
        <f>$D$28/E6*SQRT(16*E6/(3*PI()*$D$7))</f>
        <v>1.6983874080328851</v>
      </c>
      <c r="F36" s="33">
        <f>$D$28/F6*SQRT(16*F6/(3*PI()*$D$7))</f>
        <v>1.5837544242454686</v>
      </c>
      <c r="G36" s="34" t="s">
        <v>40</v>
      </c>
    </row>
    <row r="37" spans="1:7" ht="20.25">
      <c r="A37" s="25" t="s">
        <v>150</v>
      </c>
      <c r="C37" s="32"/>
      <c r="D37" s="33"/>
      <c r="E37" s="33"/>
      <c r="F37" s="33"/>
      <c r="G37" s="34"/>
    </row>
    <row r="38" spans="1:7" ht="15.75">
      <c r="A38" s="4"/>
      <c r="C38" s="30" t="s">
        <v>113</v>
      </c>
      <c r="D38" s="12">
        <f>$D$7/(4*$D$11*D31)*1000000</f>
        <v>183.91847378662095</v>
      </c>
      <c r="E38" s="12">
        <f>$D$7/(4*$D$11*E31)*1000000</f>
        <v>216.37467504308353</v>
      </c>
      <c r="F38" s="12">
        <f>$D$7/(4*$D$11*F31)*1000000</f>
        <v>248.83087629954602</v>
      </c>
      <c r="G38" t="s">
        <v>57</v>
      </c>
    </row>
    <row r="39" spans="1:7" ht="15.75">
      <c r="A39" s="4"/>
      <c r="C39" s="30" t="s">
        <v>114</v>
      </c>
      <c r="D39" s="12">
        <f>D6*($D$7-D6)/($D$7*$D$11*D31)*1000000</f>
        <v>183.64819544213282</v>
      </c>
      <c r="E39" s="12">
        <f>E6*($D$7-E6)/($D$7*$D$11*E31)*1000000</f>
        <v>212.64041594485303</v>
      </c>
      <c r="F39" s="12">
        <f>F6*($D$7-F6)/($D$7*$D$11*F31)*1000000</f>
        <v>226.27509260012835</v>
      </c>
      <c r="G39" t="s">
        <v>57</v>
      </c>
    </row>
    <row r="40" spans="1:6" ht="15.75">
      <c r="A40" s="4"/>
      <c r="C40" s="30" t="s">
        <v>112</v>
      </c>
      <c r="D40" s="9" t="b">
        <f>D6&gt;$D$7/2</f>
        <v>0</v>
      </c>
      <c r="E40" s="9" t="b">
        <f>E6&gt;$D$7/2</f>
        <v>1</v>
      </c>
      <c r="F40" s="9" t="b">
        <f>F6&gt;$D$7/2</f>
        <v>1</v>
      </c>
    </row>
    <row r="41" spans="1:7" ht="15.75">
      <c r="A41" s="4"/>
      <c r="C41" s="30" t="s">
        <v>55</v>
      </c>
      <c r="D41" s="12">
        <f>IF(D40,D38,D39)</f>
        <v>183.64819544213282</v>
      </c>
      <c r="E41" s="12">
        <f>IF(E40,E38,E39)</f>
        <v>216.37467504308353</v>
      </c>
      <c r="F41" s="12">
        <f>IF(F40,F38,F39)</f>
        <v>248.83087629954602</v>
      </c>
      <c r="G41" t="s">
        <v>57</v>
      </c>
    </row>
    <row r="42" spans="1:6" ht="20.25">
      <c r="A42" s="25" t="s">
        <v>151</v>
      </c>
      <c r="C42" s="30"/>
      <c r="D42" s="12"/>
      <c r="E42" s="12"/>
      <c r="F42" s="12"/>
    </row>
    <row r="43" spans="1:6" ht="15.75">
      <c r="A43" s="4"/>
      <c r="C43" s="30" t="s">
        <v>117</v>
      </c>
      <c r="D43" s="41">
        <v>0.02</v>
      </c>
      <c r="E43" s="31" t="s">
        <v>116</v>
      </c>
      <c r="F43" s="9"/>
    </row>
    <row r="44" spans="1:7" ht="15.75">
      <c r="A44" s="4"/>
      <c r="C44" s="30" t="s">
        <v>115</v>
      </c>
      <c r="D44" s="12">
        <f>$D$12*D29/(2*PI()*$D$11*$D$43*D5)*1000000000</f>
        <v>1124.8144314679269</v>
      </c>
      <c r="E44" s="12">
        <f>$D$12*E29/(2*PI()*$D$11*$D$43*E5)*1000000000</f>
        <v>812.6784267355769</v>
      </c>
      <c r="F44" s="12">
        <f>$D$12*F29/(2*PI()*$D$11*$D$43*F5)*1000000000</f>
        <v>614.5016459248219</v>
      </c>
      <c r="G44" t="s">
        <v>81</v>
      </c>
    </row>
    <row r="45" spans="1:6" ht="15.75">
      <c r="A45" s="4"/>
      <c r="C45" s="30" t="s">
        <v>118</v>
      </c>
      <c r="D45" s="9">
        <f>D8/(2*PI()*2*D2*D9*D7)*1000000</f>
        <v>1326.2911924324612</v>
      </c>
      <c r="E45" s="9" t="s">
        <v>120</v>
      </c>
      <c r="F45" s="9"/>
    </row>
    <row r="46" spans="1:6" ht="15.75">
      <c r="A46" s="4"/>
      <c r="C46" s="30" t="s">
        <v>122</v>
      </c>
      <c r="D46" s="9">
        <f>D9/D18</f>
        <v>1.2</v>
      </c>
      <c r="E46" s="9" t="s">
        <v>67</v>
      </c>
      <c r="F46" s="9"/>
    </row>
    <row r="47" spans="1:6" ht="15.75">
      <c r="A47" s="4"/>
      <c r="C47" s="30" t="s">
        <v>121</v>
      </c>
      <c r="D47" s="9">
        <v>0.5</v>
      </c>
      <c r="E47" s="9" t="s">
        <v>67</v>
      </c>
      <c r="F47" s="9"/>
    </row>
    <row r="48" spans="1:6" ht="15.75">
      <c r="A48" s="4"/>
      <c r="C48" s="30" t="s">
        <v>123</v>
      </c>
      <c r="D48" s="9">
        <f>SQRT(D46^2-D47^2)</f>
        <v>1.0908712114635715</v>
      </c>
      <c r="E48" s="9" t="s">
        <v>67</v>
      </c>
      <c r="F48" s="9"/>
    </row>
    <row r="49" spans="1:6" ht="15.75">
      <c r="A49" s="4"/>
      <c r="C49" s="30" t="s">
        <v>124</v>
      </c>
      <c r="D49" s="9">
        <f>1/(2*PI()*2*D2*D48)*1000000</f>
        <v>1458.9709712695094</v>
      </c>
      <c r="E49" s="9" t="s">
        <v>120</v>
      </c>
      <c r="F49" s="9"/>
    </row>
    <row r="50" spans="1:6" ht="15.75">
      <c r="A50" s="4"/>
      <c r="C50" s="30" t="s">
        <v>125</v>
      </c>
      <c r="D50" s="9">
        <f>4/D2</f>
        <v>0.08</v>
      </c>
      <c r="E50" s="9" t="s">
        <v>126</v>
      </c>
      <c r="F50" s="9"/>
    </row>
    <row r="51" spans="1:6" ht="15.75">
      <c r="A51" s="4"/>
      <c r="C51" s="30" t="s">
        <v>127</v>
      </c>
      <c r="D51" s="16">
        <v>17</v>
      </c>
      <c r="E51" s="9" t="s">
        <v>39</v>
      </c>
      <c r="F51" s="9"/>
    </row>
    <row r="52" spans="1:6" ht="15.75">
      <c r="A52" s="4"/>
      <c r="C52" s="30" t="s">
        <v>124</v>
      </c>
      <c r="D52" s="9">
        <f>2*D8*D50/((D7-D10/2)^2-D51^2)*1000000</f>
        <v>8560.727661851257</v>
      </c>
      <c r="E52" s="9" t="s">
        <v>120</v>
      </c>
      <c r="F52" s="9"/>
    </row>
    <row r="53" spans="1:4" ht="20.25">
      <c r="A53" s="25" t="s">
        <v>86</v>
      </c>
      <c r="C53" s="30"/>
      <c r="D53" s="27"/>
    </row>
    <row r="54" spans="1:4" ht="15.75">
      <c r="A54" s="4"/>
      <c r="C54" s="4" t="s">
        <v>95</v>
      </c>
      <c r="D54" s="2">
        <f>D7+D10</f>
        <v>35</v>
      </c>
    </row>
    <row r="55" spans="1:4" ht="15.75">
      <c r="A55" s="4"/>
      <c r="C55" s="4" t="s">
        <v>96</v>
      </c>
      <c r="D55" s="2" t="s">
        <v>153</v>
      </c>
    </row>
    <row r="56" spans="1:4" ht="15.75">
      <c r="A56" s="4"/>
      <c r="C56" s="4" t="s">
        <v>97</v>
      </c>
      <c r="D56" s="2" t="s">
        <v>154</v>
      </c>
    </row>
    <row r="57" spans="1:5" ht="15.75">
      <c r="A57" s="4"/>
      <c r="C57" s="4" t="s">
        <v>98</v>
      </c>
      <c r="D57" s="2">
        <v>0.021</v>
      </c>
      <c r="E57" s="26" t="s">
        <v>84</v>
      </c>
    </row>
    <row r="58" spans="1:5" ht="15.75">
      <c r="A58" s="4"/>
      <c r="C58" s="4" t="s">
        <v>98</v>
      </c>
      <c r="D58" s="2">
        <f>D57*2</f>
        <v>0.042</v>
      </c>
      <c r="E58" s="26" t="s">
        <v>155</v>
      </c>
    </row>
    <row r="59" spans="1:7" ht="15.75">
      <c r="A59" s="4"/>
      <c r="C59" s="4" t="s">
        <v>134</v>
      </c>
      <c r="D59" s="9">
        <f>D34</f>
        <v>2.2183453614689466</v>
      </c>
      <c r="E59" s="9">
        <f>E34</f>
        <v>1.7671403721755519</v>
      </c>
      <c r="F59" s="9">
        <f>F34</f>
        <v>1.4262213952559604</v>
      </c>
      <c r="G59" t="s">
        <v>40</v>
      </c>
    </row>
    <row r="60" spans="1:7" ht="15.75">
      <c r="A60" s="4"/>
      <c r="C60" s="4" t="s">
        <v>99</v>
      </c>
      <c r="D60" s="3">
        <f>D59^2*$D$58</f>
        <v>0.20668435799553322</v>
      </c>
      <c r="E60" s="3">
        <f>E59^2*$D$58</f>
        <v>0.13115697398885542</v>
      </c>
      <c r="F60" s="3">
        <f>F59^2*$D$58</f>
        <v>0.08543251366800605</v>
      </c>
      <c r="G60" t="s">
        <v>41</v>
      </c>
    </row>
    <row r="61" spans="1:6" ht="15.75">
      <c r="A61" s="4"/>
      <c r="C61" s="4" t="s">
        <v>132</v>
      </c>
      <c r="D61" s="16">
        <v>110</v>
      </c>
      <c r="E61" s="9" t="s">
        <v>133</v>
      </c>
      <c r="F61" s="9"/>
    </row>
    <row r="62" spans="1:7" ht="15.75">
      <c r="A62" s="4"/>
      <c r="C62" s="4" t="s">
        <v>131</v>
      </c>
      <c r="D62" s="3">
        <f>1.5*$D$61*0.000000001*$D$7*$D$11*D59</f>
        <v>1.0980809539271286</v>
      </c>
      <c r="E62" s="3">
        <f>1.5*$D$61*0.000000001*$D$7*$D$11*E59</f>
        <v>0.8747344842268981</v>
      </c>
      <c r="F62" s="3">
        <f>1.5*$D$61*0.000000001*$D$7*$D$11*F59</f>
        <v>0.7059795906517004</v>
      </c>
      <c r="G62" t="s">
        <v>41</v>
      </c>
    </row>
    <row r="63" spans="1:6" ht="15.75">
      <c r="A63" s="4"/>
      <c r="C63" s="4" t="s">
        <v>136</v>
      </c>
      <c r="D63" s="16">
        <v>2000</v>
      </c>
      <c r="E63" s="3" t="s">
        <v>138</v>
      </c>
      <c r="F63" s="3"/>
    </row>
    <row r="64" spans="1:6" ht="15.75">
      <c r="A64" s="4"/>
      <c r="C64" s="4" t="s">
        <v>137</v>
      </c>
      <c r="D64" s="16">
        <v>2000</v>
      </c>
      <c r="E64" s="3" t="s">
        <v>138</v>
      </c>
      <c r="F64" s="3"/>
    </row>
    <row r="65" spans="1:5" ht="15.75">
      <c r="A65" s="4"/>
      <c r="C65" s="30" t="s">
        <v>135</v>
      </c>
      <c r="D65" s="3">
        <f>(10/3*D63*0.000000000001*D7^1.5+1/2*D64*0.000000000001*D7^2)*D11</f>
        <v>0.1995445115010332</v>
      </c>
      <c r="E65" s="2" t="s">
        <v>41</v>
      </c>
    </row>
    <row r="66" ht="20.25">
      <c r="A66" s="1" t="s">
        <v>139</v>
      </c>
    </row>
    <row r="67" spans="3:4" ht="15.75">
      <c r="C67" s="4" t="s">
        <v>140</v>
      </c>
      <c r="D67" s="2" t="s">
        <v>156</v>
      </c>
    </row>
    <row r="68" spans="3:5" ht="15.75">
      <c r="C68" s="4" t="s">
        <v>142</v>
      </c>
      <c r="D68" s="2">
        <v>0.71</v>
      </c>
      <c r="E68" s="2" t="s">
        <v>39</v>
      </c>
    </row>
    <row r="69" spans="3:5" ht="15.75">
      <c r="C69" s="4" t="s">
        <v>143</v>
      </c>
      <c r="D69" s="2">
        <v>0.00043</v>
      </c>
      <c r="E69" s="2" t="s">
        <v>67</v>
      </c>
    </row>
    <row r="70" spans="3:5" ht="15.75">
      <c r="C70" s="4" t="s">
        <v>145</v>
      </c>
      <c r="D70" s="9">
        <f>D22</f>
        <v>0.8333333333333334</v>
      </c>
      <c r="E70" s="2" t="s">
        <v>40</v>
      </c>
    </row>
    <row r="71" spans="3:5" ht="15.75">
      <c r="C71" s="4" t="s">
        <v>149</v>
      </c>
      <c r="D71" s="9">
        <f>D36</f>
        <v>1.8421597898900728</v>
      </c>
      <c r="E71" s="2" t="s">
        <v>40</v>
      </c>
    </row>
    <row r="72" spans="3:5" ht="15.75">
      <c r="C72" s="4" t="s">
        <v>144</v>
      </c>
      <c r="D72" s="9">
        <f>D68*D70+D69*D71^2</f>
        <v>0.5931258943240064</v>
      </c>
      <c r="E72" s="2" t="s">
        <v>41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G79"/>
  <sheetViews>
    <sheetView workbookViewId="0" topLeftCell="A2">
      <pane ySplit="4095" topLeftCell="BM28" activePane="bottomLeft" state="split"/>
      <selection pane="topLeft" activeCell="D23" sqref="D23"/>
      <selection pane="bottomLeft" activeCell="E79" sqref="E79"/>
    </sheetView>
  </sheetViews>
  <sheetFormatPr defaultColWidth="11.00390625" defaultRowHeight="15.75"/>
  <cols>
    <col min="1" max="1" width="5.125" style="0" customWidth="1"/>
    <col min="2" max="2" width="4.625" style="2" customWidth="1"/>
    <col min="3" max="3" width="20.375" style="4" customWidth="1"/>
    <col min="4" max="4" width="13.125" style="2" bestFit="1" customWidth="1"/>
    <col min="5" max="6" width="11.00390625" style="2" customWidth="1"/>
  </cols>
  <sheetData>
    <row r="1" ht="20.25">
      <c r="A1" s="1" t="s">
        <v>82</v>
      </c>
    </row>
    <row r="2" spans="3:5" ht="15.75">
      <c r="C2" s="4" t="s">
        <v>119</v>
      </c>
      <c r="D2" s="2">
        <v>50</v>
      </c>
      <c r="E2" s="2" t="s">
        <v>63</v>
      </c>
    </row>
    <row r="3" spans="3:7" ht="15.75">
      <c r="C3" s="4" t="s">
        <v>48</v>
      </c>
      <c r="D3" s="2">
        <v>110</v>
      </c>
      <c r="E3" s="2">
        <v>230</v>
      </c>
      <c r="F3" s="2">
        <v>230</v>
      </c>
      <c r="G3" t="s">
        <v>39</v>
      </c>
    </row>
    <row r="4" spans="1:6" ht="15.75">
      <c r="A4" s="4"/>
      <c r="C4" s="4" t="s">
        <v>103</v>
      </c>
      <c r="D4" s="7">
        <v>-0.2</v>
      </c>
      <c r="E4" s="7">
        <v>0</v>
      </c>
      <c r="F4" s="23">
        <v>0.148</v>
      </c>
    </row>
    <row r="5" spans="1:7" ht="15.75">
      <c r="A5" s="4"/>
      <c r="C5" s="4" t="s">
        <v>104</v>
      </c>
      <c r="D5" s="2">
        <f>D3*(1+D4)</f>
        <v>88</v>
      </c>
      <c r="E5" s="2">
        <f>E3*(1+E4)</f>
        <v>230</v>
      </c>
      <c r="F5" s="12">
        <f>F3*(1+F4)</f>
        <v>264.03999999999996</v>
      </c>
      <c r="G5" t="s">
        <v>39</v>
      </c>
    </row>
    <row r="6" spans="1:7" ht="15.75">
      <c r="A6" s="4"/>
      <c r="C6" s="4" t="s">
        <v>105</v>
      </c>
      <c r="D6" s="12">
        <f>D5*SQRT(2)</f>
        <v>124.45079348883237</v>
      </c>
      <c r="E6" s="12">
        <f>E5*SQRT(2)</f>
        <v>325.2691193458119</v>
      </c>
      <c r="F6" s="12">
        <f>F5*SQRT(2)</f>
        <v>373.408949008992</v>
      </c>
      <c r="G6" t="s">
        <v>39</v>
      </c>
    </row>
    <row r="7" spans="1:5" ht="15.75">
      <c r="A7" s="4"/>
      <c r="C7" s="4" t="s">
        <v>33</v>
      </c>
      <c r="D7" s="2">
        <v>400</v>
      </c>
      <c r="E7" s="2" t="s">
        <v>39</v>
      </c>
    </row>
    <row r="8" spans="1:5" ht="15.75">
      <c r="A8" s="4"/>
      <c r="C8" s="28" t="s">
        <v>44</v>
      </c>
      <c r="D8" s="2">
        <v>200</v>
      </c>
      <c r="E8" s="2" t="s">
        <v>41</v>
      </c>
    </row>
    <row r="9" spans="1:5" ht="15.75">
      <c r="A9" s="4"/>
      <c r="C9" s="28" t="s">
        <v>87</v>
      </c>
      <c r="D9" s="2">
        <v>8</v>
      </c>
      <c r="E9" s="2" t="s">
        <v>39</v>
      </c>
    </row>
    <row r="10" spans="1:5" ht="15.75">
      <c r="A10" s="4"/>
      <c r="C10" s="29" t="s">
        <v>106</v>
      </c>
      <c r="D10" s="2">
        <v>50</v>
      </c>
      <c r="E10" s="2" t="s">
        <v>39</v>
      </c>
    </row>
    <row r="11" spans="1:5" ht="15.75">
      <c r="A11" s="4"/>
      <c r="C11" s="28" t="s">
        <v>107</v>
      </c>
      <c r="D11" s="24">
        <v>100000</v>
      </c>
      <c r="E11" s="2" t="s">
        <v>63</v>
      </c>
    </row>
    <row r="12" spans="1:4" ht="15.75">
      <c r="A12" s="4"/>
      <c r="C12" s="28" t="s">
        <v>111</v>
      </c>
      <c r="D12" s="7">
        <v>0.35</v>
      </c>
    </row>
    <row r="13" spans="1:4" ht="15.75">
      <c r="A13" s="4"/>
      <c r="C13" s="28" t="s">
        <v>108</v>
      </c>
      <c r="D13" s="7">
        <v>0.9</v>
      </c>
    </row>
    <row r="14" spans="1:3" ht="20.25">
      <c r="A14" s="25" t="s">
        <v>101</v>
      </c>
      <c r="C14" s="30"/>
    </row>
    <row r="15" spans="1:4" ht="15.75">
      <c r="A15" s="4"/>
      <c r="C15" s="30" t="s">
        <v>43</v>
      </c>
      <c r="D15" s="7">
        <v>1</v>
      </c>
    </row>
    <row r="16" spans="1:5" ht="15.75">
      <c r="A16" s="4"/>
      <c r="C16" s="30" t="s">
        <v>87</v>
      </c>
      <c r="D16" s="27">
        <v>0</v>
      </c>
      <c r="E16" s="2" t="s">
        <v>39</v>
      </c>
    </row>
    <row r="17" spans="1:5" ht="15.75">
      <c r="A17" s="4"/>
      <c r="C17" s="30" t="s">
        <v>89</v>
      </c>
      <c r="D17" s="27">
        <v>0</v>
      </c>
      <c r="E17" s="2" t="s">
        <v>40</v>
      </c>
    </row>
    <row r="18" spans="1:5" ht="15.75">
      <c r="A18" s="4"/>
      <c r="C18" s="30" t="s">
        <v>45</v>
      </c>
      <c r="D18" s="27">
        <f>D8/D7</f>
        <v>0.5</v>
      </c>
      <c r="E18" s="2" t="s">
        <v>40</v>
      </c>
    </row>
    <row r="19" spans="1:7" ht="15.75">
      <c r="A19" s="4"/>
      <c r="C19" s="30" t="s">
        <v>90</v>
      </c>
      <c r="D19" s="9">
        <f>$D$8/D5</f>
        <v>2.272727272727273</v>
      </c>
      <c r="E19" s="9">
        <f>$D$8/E5</f>
        <v>0.8695652173913043</v>
      </c>
      <c r="F19" s="9">
        <f>$D$8/F5</f>
        <v>0.757460990758976</v>
      </c>
      <c r="G19" t="s">
        <v>40</v>
      </c>
    </row>
    <row r="20" spans="1:6" ht="15.75">
      <c r="A20" s="4"/>
      <c r="C20" s="30" t="s">
        <v>88</v>
      </c>
      <c r="D20" s="9">
        <f>SQRT(2)*D19</f>
        <v>3.2141217326661256</v>
      </c>
      <c r="E20" s="9">
        <f>SQRT(2)*E19</f>
        <v>1.2297509238026914</v>
      </c>
      <c r="F20" s="9">
        <f>SQRT(2)*F19</f>
        <v>1.0712116060999055</v>
      </c>
    </row>
    <row r="21" spans="1:7" ht="15.75">
      <c r="A21" s="4"/>
      <c r="C21" s="30" t="s">
        <v>146</v>
      </c>
      <c r="D21" s="9">
        <f>$D$8/D6*SQRT(2-16*D6/(3*PI()*$D$7))</f>
        <v>1.9496598743517486</v>
      </c>
      <c r="E21" s="9">
        <f>$D$8/E6*SQRT(2-16*E6/(3*PI()*$D$7))</f>
        <v>0.4839640122743889</v>
      </c>
      <c r="F21" s="9">
        <f>$D$8/F6*SQRT(2-16*F6/(3*PI()*$D$7))</f>
        <v>0.3451243640095756</v>
      </c>
      <c r="G21" t="s">
        <v>40</v>
      </c>
    </row>
    <row r="22" spans="1:5" ht="15.75">
      <c r="A22" s="4"/>
      <c r="C22" s="30" t="s">
        <v>91</v>
      </c>
      <c r="D22" s="27">
        <f>D18</f>
        <v>0.5</v>
      </c>
      <c r="E22" s="2" t="s">
        <v>40</v>
      </c>
    </row>
    <row r="23" spans="1:5" ht="15.75">
      <c r="A23" s="4"/>
      <c r="C23" s="30" t="s">
        <v>147</v>
      </c>
      <c r="D23" s="3">
        <f>D8/D6*SQRT(16*D6/(3*PI()*D7))</f>
        <v>1.1679536080431747</v>
      </c>
      <c r="E23" s="2" t="s">
        <v>40</v>
      </c>
    </row>
    <row r="24" spans="1:7" ht="15.75">
      <c r="A24" s="4"/>
      <c r="C24" s="30" t="s">
        <v>92</v>
      </c>
      <c r="D24" s="9">
        <f>$D$18*SQRT(16*$D$7/(3*PI()*D5*SQRT(2))-1)</f>
        <v>1.0555167599527113</v>
      </c>
      <c r="E24" s="9">
        <f>$D$18*SQRT(16*$D$7/(3*PI()*E5*SQRT(2))-1)</f>
        <v>0.5214618894224787</v>
      </c>
      <c r="F24" s="9">
        <f>$D$18*SQRT(16*$D$7/(3*PI()*F5*SQRT(2))-1)</f>
        <v>0.45236746776106185</v>
      </c>
      <c r="G24" t="s">
        <v>40</v>
      </c>
    </row>
    <row r="25" spans="1:5" ht="15.75">
      <c r="A25" s="4"/>
      <c r="C25" s="30" t="s">
        <v>93</v>
      </c>
      <c r="D25" s="9">
        <f>D18/SQRT(2)</f>
        <v>0.35355339059327373</v>
      </c>
      <c r="E25" s="2" t="s">
        <v>40</v>
      </c>
    </row>
    <row r="26" spans="1:7" ht="15.75">
      <c r="A26" s="4"/>
      <c r="C26" s="30" t="s">
        <v>94</v>
      </c>
      <c r="D26" s="9">
        <f>$D$18*SQRT(16*$D$7/(3*PI()*D5*SQRT(2))-1.5)</f>
        <v>0.9945429254391535</v>
      </c>
      <c r="E26" s="9">
        <f>$D$18*SQRT(16*$D$7/(3*PI()*E5*SQRT(2))-1.5)</f>
        <v>0.3833047118417166</v>
      </c>
      <c r="F26" s="9">
        <f>$D$18*SQRT(16*$D$7/(3*PI()*F5*SQRT(2))-1.5)</f>
        <v>0.28219908909944297</v>
      </c>
      <c r="G26" t="s">
        <v>40</v>
      </c>
    </row>
    <row r="27" spans="1:6" ht="20.25">
      <c r="A27" s="25" t="s">
        <v>100</v>
      </c>
      <c r="C27" s="30"/>
      <c r="D27" s="9"/>
      <c r="E27" s="9"/>
      <c r="F27" s="9"/>
    </row>
    <row r="28" spans="1:6" ht="15.75">
      <c r="A28" s="4"/>
      <c r="C28" s="30" t="s">
        <v>102</v>
      </c>
      <c r="D28" s="12">
        <f>D8/D13</f>
        <v>222.22222222222223</v>
      </c>
      <c r="E28" s="9" t="s">
        <v>41</v>
      </c>
      <c r="F28" s="9"/>
    </row>
    <row r="29" spans="1:7" ht="15.75">
      <c r="A29" s="4"/>
      <c r="C29" s="30" t="s">
        <v>109</v>
      </c>
      <c r="D29" s="9">
        <f>$D$28/D5</f>
        <v>2.5252525252525255</v>
      </c>
      <c r="E29" s="9">
        <f>$D$28/E5</f>
        <v>0.9661835748792271</v>
      </c>
      <c r="F29" s="9">
        <f>$D$28/F5</f>
        <v>0.8416233230655289</v>
      </c>
      <c r="G29" t="s">
        <v>40</v>
      </c>
    </row>
    <row r="30" spans="1:7" ht="15.75">
      <c r="A30" s="4"/>
      <c r="C30" s="30" t="s">
        <v>110</v>
      </c>
      <c r="D30" s="9">
        <f>D29*SQRT(2)</f>
        <v>3.5712463696290286</v>
      </c>
      <c r="E30" s="9">
        <f>E29*SQRT(2)</f>
        <v>1.366389915336324</v>
      </c>
      <c r="F30" s="9">
        <f>F29*SQRT(2)</f>
        <v>1.190235117888784</v>
      </c>
      <c r="G30" t="s">
        <v>40</v>
      </c>
    </row>
    <row r="31" spans="1:7" ht="15.75">
      <c r="A31" s="4"/>
      <c r="C31" s="30" t="s">
        <v>89</v>
      </c>
      <c r="D31" s="9">
        <f>D30*$D$12*2</f>
        <v>2.49987245874032</v>
      </c>
      <c r="E31" s="9">
        <f>E30*$D$12*2</f>
        <v>0.9564729407354267</v>
      </c>
      <c r="F31" s="9">
        <f>F30*$D$12*2</f>
        <v>0.8331645825221488</v>
      </c>
      <c r="G31" t="s">
        <v>40</v>
      </c>
    </row>
    <row r="32" spans="1:7" ht="15.75">
      <c r="A32" s="4"/>
      <c r="C32" s="30" t="s">
        <v>128</v>
      </c>
      <c r="D32" s="9">
        <f>D30+D31/2</f>
        <v>4.821182598999188</v>
      </c>
      <c r="E32" s="9">
        <f>E30+E31/2</f>
        <v>1.8446263857040373</v>
      </c>
      <c r="F32" s="9">
        <f>F30+F31/2</f>
        <v>1.6068174091498584</v>
      </c>
      <c r="G32" t="s">
        <v>40</v>
      </c>
    </row>
    <row r="33" spans="1:7" ht="15.75">
      <c r="A33" s="4"/>
      <c r="C33" s="30" t="s">
        <v>129</v>
      </c>
      <c r="D33" s="9">
        <f>D32/2*SQRT(2-16*D6/(3*PI()*$D$7))</f>
        <v>2.9244898115276237</v>
      </c>
      <c r="E33" s="9">
        <f>E32/2*SQRT(2-16*E6/(3*PI()*$D$7))</f>
        <v>0.7259460184115835</v>
      </c>
      <c r="F33" s="9">
        <f>F32/2*SQRT(2-16*F6/(3*PI()*$D$7))</f>
        <v>0.5176865460143636</v>
      </c>
      <c r="G33" t="s">
        <v>40</v>
      </c>
    </row>
    <row r="34" spans="1:7" ht="15.75">
      <c r="A34" s="4"/>
      <c r="C34" s="32" t="s">
        <v>130</v>
      </c>
      <c r="D34" s="33">
        <f>$D$28/D6*SQRT(2-16*D6/(3*PI()*$D$7))</f>
        <v>2.1662887492797207</v>
      </c>
      <c r="E34" s="33">
        <f>$D$28/E6*SQRT(2-16*E6/(3*PI()*$D$7))</f>
        <v>0.5377377914159877</v>
      </c>
      <c r="F34" s="33">
        <f>$D$28/F6*SQRT(2-16*F6/(3*PI()*$D$7))</f>
        <v>0.38347151556619513</v>
      </c>
      <c r="G34" s="34" t="s">
        <v>40</v>
      </c>
    </row>
    <row r="35" spans="1:6" s="37" customFormat="1" ht="15.75">
      <c r="A35" s="35"/>
      <c r="B35" s="36"/>
      <c r="C35" s="38" t="s">
        <v>148</v>
      </c>
      <c r="D35" s="39"/>
      <c r="E35" s="39"/>
      <c r="F35" s="39"/>
    </row>
    <row r="36" spans="1:7" ht="15.75">
      <c r="A36" s="4"/>
      <c r="C36" s="32" t="s">
        <v>148</v>
      </c>
      <c r="D36" s="33">
        <f>$D$28/D6*SQRT(16*D6/(3*PI()*$D$7))</f>
        <v>1.2977262311590831</v>
      </c>
      <c r="E36" s="33">
        <f>$D$28/E6*SQRT(16*E6/(3*PI()*$D$7))</f>
        <v>0.8027133785165529</v>
      </c>
      <c r="F36" s="33">
        <f>$D$28/F6*SQRT(16*F6/(3*PI()*$D$7))</f>
        <v>0.749185834541223</v>
      </c>
      <c r="G36" s="34" t="s">
        <v>40</v>
      </c>
    </row>
    <row r="37" spans="1:7" ht="20.25">
      <c r="A37" s="25" t="s">
        <v>150</v>
      </c>
      <c r="C37" s="32"/>
      <c r="D37" s="33"/>
      <c r="E37" s="33"/>
      <c r="F37" s="33"/>
      <c r="G37" s="34"/>
    </row>
    <row r="38" spans="1:7" ht="15.75">
      <c r="A38" s="4"/>
      <c r="C38" s="30" t="s">
        <v>113</v>
      </c>
      <c r="D38" s="12">
        <f>$D$7/(4*$D$11*D31)*1000000</f>
        <v>400.0204076426754</v>
      </c>
      <c r="E38" s="12">
        <f>$D$7/(4*$D$11*E31)*1000000</f>
        <v>1045.507883611538</v>
      </c>
      <c r="F38" s="12">
        <f>$D$7/(4*$D$11*F31)*1000000</f>
        <v>1200.2430503860458</v>
      </c>
      <c r="G38" t="s">
        <v>57</v>
      </c>
    </row>
    <row r="39" spans="1:7" ht="15.75">
      <c r="A39" s="4"/>
      <c r="C39" s="30" t="s">
        <v>114</v>
      </c>
      <c r="D39" s="12">
        <f>D6*($D$7-D6)/($D$7*$D$11*D31)*1000000</f>
        <v>342.94066958932746</v>
      </c>
      <c r="E39" s="12">
        <f>E6*($D$7-E6)/($D$7*$D$11*E31)*1000000</f>
        <v>635.3459335617672</v>
      </c>
      <c r="F39" s="12">
        <f>F6*($D$7-F6)/($D$7*$D$11*F31)*1000000</f>
        <v>297.94042533405604</v>
      </c>
      <c r="G39" t="s">
        <v>57</v>
      </c>
    </row>
    <row r="40" spans="1:6" ht="15.75">
      <c r="A40" s="4"/>
      <c r="C40" s="30" t="s">
        <v>112</v>
      </c>
      <c r="D40" s="9" t="b">
        <f>D6&gt;$D$7/2</f>
        <v>0</v>
      </c>
      <c r="E40" s="9" t="b">
        <f>E6&gt;$D$7/2</f>
        <v>1</v>
      </c>
      <c r="F40" s="9" t="b">
        <f>F6&gt;$D$7/2</f>
        <v>1</v>
      </c>
    </row>
    <row r="41" spans="1:7" ht="15.75">
      <c r="A41" s="4"/>
      <c r="C41" s="30" t="s">
        <v>55</v>
      </c>
      <c r="D41" s="12">
        <f>IF(D40,D38,D39)</f>
        <v>342.94066958932746</v>
      </c>
      <c r="E41" s="12">
        <f>IF(E40,E38,E39)</f>
        <v>1045.507883611538</v>
      </c>
      <c r="F41" s="12">
        <f>IF(F40,F38,F39)</f>
        <v>1200.2430503860458</v>
      </c>
      <c r="G41" t="s">
        <v>57</v>
      </c>
    </row>
    <row r="42" spans="1:6" ht="20.25">
      <c r="A42" s="25" t="s">
        <v>151</v>
      </c>
      <c r="C42" s="30"/>
      <c r="D42" s="12"/>
      <c r="E42" s="12"/>
      <c r="F42" s="12"/>
    </row>
    <row r="43" spans="1:6" ht="15.75">
      <c r="A43" s="4"/>
      <c r="C43" s="30" t="s">
        <v>117</v>
      </c>
      <c r="D43" s="6">
        <v>0.02</v>
      </c>
      <c r="E43" s="31" t="s">
        <v>116</v>
      </c>
      <c r="F43" s="9"/>
    </row>
    <row r="44" spans="1:7" ht="15.75">
      <c r="A44" s="4"/>
      <c r="C44" s="30" t="s">
        <v>115</v>
      </c>
      <c r="D44" s="12">
        <f>$D$12*D29/(2*PI()*$D$11*$D$43*D5)*1000000000</f>
        <v>799.2457254672202</v>
      </c>
      <c r="E44" s="12">
        <f>$D$12*E29/(2*PI()*$D$11*$D$43*E5)*1000000000</f>
        <v>117.00111338408605</v>
      </c>
      <c r="F44" s="12">
        <f>$D$12*F29/(2*PI()*$D$11*$D$43*F5)*1000000000</f>
        <v>88.77817609179885</v>
      </c>
      <c r="G44" t="s">
        <v>81</v>
      </c>
    </row>
    <row r="45" spans="1:6" ht="15.75">
      <c r="A45" s="4"/>
      <c r="C45" s="30" t="s">
        <v>118</v>
      </c>
      <c r="D45" s="9">
        <f>D8/(2*PI()*2*D2*D9*D7)*1000000</f>
        <v>99.47183943243458</v>
      </c>
      <c r="E45" s="9" t="s">
        <v>120</v>
      </c>
      <c r="F45" s="9"/>
    </row>
    <row r="46" spans="1:6" ht="15.75">
      <c r="A46" s="4"/>
      <c r="C46" s="30" t="s">
        <v>122</v>
      </c>
      <c r="D46" s="9">
        <f>D9/D18</f>
        <v>16</v>
      </c>
      <c r="E46" s="9" t="s">
        <v>67</v>
      </c>
      <c r="F46" s="9"/>
    </row>
    <row r="47" spans="1:6" ht="15.75">
      <c r="A47" s="4"/>
      <c r="C47" s="30" t="s">
        <v>121</v>
      </c>
      <c r="D47" s="9">
        <v>0.5</v>
      </c>
      <c r="E47" s="9" t="s">
        <v>67</v>
      </c>
      <c r="F47" s="9"/>
    </row>
    <row r="48" spans="1:6" ht="15.75">
      <c r="A48" s="4"/>
      <c r="C48" s="30" t="s">
        <v>123</v>
      </c>
      <c r="D48" s="9">
        <f>SQRT(D46^2-D47^2)</f>
        <v>15.992185591719476</v>
      </c>
      <c r="E48" s="9" t="s">
        <v>67</v>
      </c>
      <c r="F48" s="9"/>
    </row>
    <row r="49" spans="1:6" ht="15.75">
      <c r="A49" s="4"/>
      <c r="C49" s="30" t="s">
        <v>124</v>
      </c>
      <c r="D49" s="9">
        <f>1/(2*PI()*2*D2*D48)*1000000</f>
        <v>99.52044526940925</v>
      </c>
      <c r="E49" s="9" t="s">
        <v>120</v>
      </c>
      <c r="F49" s="9"/>
    </row>
    <row r="50" spans="1:6" ht="15.75">
      <c r="A50" s="4"/>
      <c r="C50" s="30" t="s">
        <v>125</v>
      </c>
      <c r="D50" s="9">
        <f>4/D2</f>
        <v>0.08</v>
      </c>
      <c r="E50" s="9" t="s">
        <v>126</v>
      </c>
      <c r="F50" s="9"/>
    </row>
    <row r="51" spans="1:6" ht="15.75">
      <c r="A51" s="4"/>
      <c r="C51" s="30" t="s">
        <v>127</v>
      </c>
      <c r="D51" s="16">
        <v>300</v>
      </c>
      <c r="E51" s="9" t="s">
        <v>39</v>
      </c>
      <c r="F51" s="9"/>
    </row>
    <row r="52" spans="1:6" ht="15.75">
      <c r="A52" s="4"/>
      <c r="C52" s="30" t="s">
        <v>124</v>
      </c>
      <c r="D52" s="9">
        <f>2*D8*D50/((D7-D10/2)^2-D51^2)*1000000</f>
        <v>632.0987654320987</v>
      </c>
      <c r="E52" s="9" t="s">
        <v>120</v>
      </c>
      <c r="F52" s="9"/>
    </row>
    <row r="53" spans="1:4" ht="20.25">
      <c r="A53" s="25" t="s">
        <v>86</v>
      </c>
      <c r="C53" s="30"/>
      <c r="D53" s="27"/>
    </row>
    <row r="54" spans="1:4" ht="15.75">
      <c r="A54" s="4"/>
      <c r="C54" s="4" t="s">
        <v>95</v>
      </c>
      <c r="D54" s="2">
        <f>D7+D10</f>
        <v>450</v>
      </c>
    </row>
    <row r="55" spans="1:4" ht="15.75">
      <c r="A55" s="4"/>
      <c r="C55" s="4" t="s">
        <v>96</v>
      </c>
      <c r="D55" s="2" t="s">
        <v>83</v>
      </c>
    </row>
    <row r="56" spans="1:4" ht="15.75">
      <c r="A56" s="4"/>
      <c r="C56" s="4" t="s">
        <v>97</v>
      </c>
      <c r="D56" s="2">
        <v>500</v>
      </c>
    </row>
    <row r="57" spans="1:5" ht="15.75">
      <c r="A57" s="4"/>
      <c r="C57" s="4" t="s">
        <v>98</v>
      </c>
      <c r="D57" s="2">
        <v>0.4</v>
      </c>
      <c r="E57" s="26" t="s">
        <v>84</v>
      </c>
    </row>
    <row r="58" spans="1:5" ht="15.75">
      <c r="A58" s="4"/>
      <c r="C58" s="4" t="s">
        <v>98</v>
      </c>
      <c r="D58" s="2">
        <v>0.7</v>
      </c>
      <c r="E58" s="26" t="s">
        <v>85</v>
      </c>
    </row>
    <row r="59" spans="1:7" ht="15.75">
      <c r="A59" s="4"/>
      <c r="C59" s="4" t="s">
        <v>134</v>
      </c>
      <c r="D59" s="9">
        <f>D34</f>
        <v>2.1662887492797207</v>
      </c>
      <c r="E59" s="9">
        <f>E34</f>
        <v>0.5377377914159877</v>
      </c>
      <c r="F59" s="9">
        <f>F34</f>
        <v>0.38347151556619513</v>
      </c>
      <c r="G59" t="s">
        <v>40</v>
      </c>
    </row>
    <row r="60" spans="1:7" ht="15.75">
      <c r="A60" s="4"/>
      <c r="C60" s="4" t="s">
        <v>99</v>
      </c>
      <c r="D60" s="3">
        <f>D59^2*$D$58</f>
        <v>3.2849648616791276</v>
      </c>
      <c r="E60" s="3">
        <f>E59^2*$D$58</f>
        <v>0.20241335262186097</v>
      </c>
      <c r="F60" s="3">
        <f>F59^2*$D$58</f>
        <v>0.10293528227544425</v>
      </c>
      <c r="G60" t="s">
        <v>41</v>
      </c>
    </row>
    <row r="61" spans="1:6" ht="15.75">
      <c r="A61" s="4"/>
      <c r="C61" s="4" t="s">
        <v>132</v>
      </c>
      <c r="D61" s="16">
        <v>30</v>
      </c>
      <c r="E61" s="9" t="s">
        <v>133</v>
      </c>
      <c r="F61" s="9"/>
    </row>
    <row r="62" spans="1:7" ht="15.75">
      <c r="A62" s="4"/>
      <c r="C62" s="4" t="s">
        <v>131</v>
      </c>
      <c r="D62" s="3">
        <f>1.5*$D$61*0.000000001*$D$7*$D$11*D59</f>
        <v>3.8993197487034985</v>
      </c>
      <c r="E62" s="3">
        <f>1.5*$D$61*0.000000001*$D$7*$D$11*E59</f>
        <v>0.967928024548778</v>
      </c>
      <c r="F62" s="3">
        <f>1.5*$D$61*0.000000001*$D$7*$D$11*F59</f>
        <v>0.6902487280191514</v>
      </c>
      <c r="G62" t="s">
        <v>41</v>
      </c>
    </row>
    <row r="63" spans="1:6" ht="15.75">
      <c r="A63" s="4"/>
      <c r="C63" s="4" t="s">
        <v>136</v>
      </c>
      <c r="D63" s="3">
        <v>280</v>
      </c>
      <c r="E63" s="3" t="s">
        <v>138</v>
      </c>
      <c r="F63" s="3"/>
    </row>
    <row r="64" spans="1:6" ht="15.75">
      <c r="A64" s="4"/>
      <c r="C64" s="4" t="s">
        <v>137</v>
      </c>
      <c r="D64" s="3">
        <v>280</v>
      </c>
      <c r="E64" s="3" t="s">
        <v>138</v>
      </c>
      <c r="F64" s="3"/>
    </row>
    <row r="65" spans="1:5" ht="15.75">
      <c r="A65" s="4"/>
      <c r="C65" s="30" t="s">
        <v>135</v>
      </c>
      <c r="D65" s="3">
        <f>(10/3*D63*0.000000000001*D7^1.5+1/2*D64*0.000000000001*D7^2)*D11</f>
        <v>2.986666666666667</v>
      </c>
      <c r="E65" s="2" t="s">
        <v>41</v>
      </c>
    </row>
    <row r="66" ht="20.25">
      <c r="A66" s="1" t="s">
        <v>139</v>
      </c>
    </row>
    <row r="67" spans="3:4" ht="15.75">
      <c r="C67" s="4" t="s">
        <v>140</v>
      </c>
      <c r="D67" s="2" t="s">
        <v>141</v>
      </c>
    </row>
    <row r="68" spans="3:5" ht="15.75">
      <c r="C68" s="4" t="s">
        <v>142</v>
      </c>
      <c r="D68" s="2">
        <v>1.15</v>
      </c>
      <c r="E68" s="2" t="s">
        <v>39</v>
      </c>
    </row>
    <row r="69" spans="3:5" ht="15.75">
      <c r="C69" s="4" t="s">
        <v>143</v>
      </c>
      <c r="D69" s="2">
        <v>0.07</v>
      </c>
      <c r="E69" s="2" t="s">
        <v>67</v>
      </c>
    </row>
    <row r="70" spans="3:5" ht="15.75">
      <c r="C70" s="4" t="s">
        <v>145</v>
      </c>
      <c r="D70" s="2">
        <f>D22</f>
        <v>0.5</v>
      </c>
      <c r="E70" s="2" t="s">
        <v>40</v>
      </c>
    </row>
    <row r="71" spans="3:5" ht="15.75">
      <c r="C71" s="4" t="s">
        <v>149</v>
      </c>
      <c r="D71" s="9">
        <f>D36</f>
        <v>1.2977262311590831</v>
      </c>
      <c r="E71" s="2" t="s">
        <v>40</v>
      </c>
    </row>
    <row r="72" spans="3:5" ht="15.75">
      <c r="C72" s="4" t="s">
        <v>144</v>
      </c>
      <c r="D72" s="9">
        <f>D68*D70+D69*D71^2</f>
        <v>0.692886535972685</v>
      </c>
      <c r="E72" s="2" t="s">
        <v>41</v>
      </c>
    </row>
    <row r="73" ht="20.25">
      <c r="A73" s="1" t="s">
        <v>163</v>
      </c>
    </row>
    <row r="74" spans="3:5" ht="15.75">
      <c r="C74" s="4" t="s">
        <v>160</v>
      </c>
      <c r="D74" s="2">
        <v>0.22</v>
      </c>
      <c r="E74" s="2" t="s">
        <v>162</v>
      </c>
    </row>
    <row r="75" spans="3:5" ht="15.75">
      <c r="C75" s="4" t="s">
        <v>165</v>
      </c>
      <c r="D75" s="2">
        <v>0.25</v>
      </c>
      <c r="E75" s="2" t="s">
        <v>41</v>
      </c>
    </row>
    <row r="76" spans="3:4" ht="15.75">
      <c r="C76" s="4" t="s">
        <v>161</v>
      </c>
      <c r="D76" s="2">
        <v>3</v>
      </c>
    </row>
    <row r="77" spans="3:5" ht="15.75">
      <c r="C77" s="4" t="s">
        <v>159</v>
      </c>
      <c r="D77" s="9">
        <f>D74/D76</f>
        <v>0.07333333333333333</v>
      </c>
      <c r="E77" s="2" t="s">
        <v>162</v>
      </c>
    </row>
    <row r="78" spans="3:5" ht="15.75">
      <c r="C78" s="4" t="s">
        <v>164</v>
      </c>
      <c r="D78" s="9">
        <f>D77*D29^2</f>
        <v>0.46763935652824556</v>
      </c>
      <c r="E78" s="2" t="s">
        <v>41</v>
      </c>
    </row>
    <row r="79" spans="3:5" ht="15.75">
      <c r="C79" s="4" t="s">
        <v>166</v>
      </c>
      <c r="D79" s="2">
        <f>D76*D75</f>
        <v>0.75</v>
      </c>
      <c r="E79" s="2" t="s">
        <v>41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C21"/>
  <sheetViews>
    <sheetView workbookViewId="0" topLeftCell="A1">
      <selection activeCell="C13" sqref="C13"/>
    </sheetView>
  </sheetViews>
  <sheetFormatPr defaultColWidth="11.00390625" defaultRowHeight="15.75"/>
  <cols>
    <col min="2" max="2" width="7.625" style="2" customWidth="1"/>
    <col min="3" max="3" width="13.125" style="2" customWidth="1"/>
    <col min="4" max="6" width="11.00390625" style="2" customWidth="1"/>
  </cols>
  <sheetData>
    <row r="1" ht="20.25">
      <c r="A1" s="1" t="s">
        <v>0</v>
      </c>
    </row>
    <row r="3" spans="1:3" ht="15.75">
      <c r="A3" s="4" t="s">
        <v>1</v>
      </c>
      <c r="C3" s="2" t="s">
        <v>2</v>
      </c>
    </row>
    <row r="4" spans="1:3" ht="15.75">
      <c r="A4" s="4" t="s">
        <v>3</v>
      </c>
      <c r="B4" s="2" t="s">
        <v>6</v>
      </c>
      <c r="C4" s="2">
        <v>45</v>
      </c>
    </row>
    <row r="5" spans="1:3" ht="15.75">
      <c r="A5" s="4" t="s">
        <v>4</v>
      </c>
      <c r="B5" s="2" t="s">
        <v>7</v>
      </c>
      <c r="C5" s="2">
        <v>150</v>
      </c>
    </row>
    <row r="6" spans="1:3" ht="15.75">
      <c r="A6" s="4" t="s">
        <v>5</v>
      </c>
      <c r="B6" s="2" t="s">
        <v>8</v>
      </c>
      <c r="C6" s="3">
        <f>C5/C4</f>
        <v>3.3333333333333335</v>
      </c>
    </row>
    <row r="7" spans="1:3" ht="15.75">
      <c r="A7" s="4" t="s">
        <v>27</v>
      </c>
      <c r="B7" s="2" t="s">
        <v>6</v>
      </c>
      <c r="C7" s="3">
        <v>24</v>
      </c>
    </row>
    <row r="8" spans="1:3" ht="15.75">
      <c r="A8" s="4" t="s">
        <v>30</v>
      </c>
      <c r="B8" s="2" t="s">
        <v>31</v>
      </c>
      <c r="C8" s="6">
        <v>0.15</v>
      </c>
    </row>
    <row r="9" spans="1:3" ht="15.75">
      <c r="A9" s="4" t="s">
        <v>29</v>
      </c>
      <c r="B9" s="2" t="s">
        <v>6</v>
      </c>
      <c r="C9" s="3">
        <f>C7*(1+C8)</f>
        <v>27.599999999999998</v>
      </c>
    </row>
    <row r="10" spans="1:3" ht="15.75">
      <c r="A10" s="4" t="s">
        <v>32</v>
      </c>
      <c r="B10" s="2" t="s">
        <v>6</v>
      </c>
      <c r="C10" s="3">
        <f>C9*SQRT(2)</f>
        <v>39.032294321497425</v>
      </c>
    </row>
    <row r="11" spans="1:3" ht="15.75">
      <c r="A11" s="4" t="s">
        <v>28</v>
      </c>
      <c r="B11" s="2" t="s">
        <v>8</v>
      </c>
      <c r="C11" s="3">
        <f>C5/C7</f>
        <v>6.25</v>
      </c>
    </row>
    <row r="12" spans="1:3" ht="15.75">
      <c r="A12" s="4" t="s">
        <v>212</v>
      </c>
      <c r="B12" s="2" t="s">
        <v>8</v>
      </c>
      <c r="C12" s="3">
        <f>C11*SQRT(2)</f>
        <v>8.838834764831844</v>
      </c>
    </row>
    <row r="13" spans="1:3" ht="15.75">
      <c r="A13" s="4" t="s">
        <v>10</v>
      </c>
      <c r="B13" s="2" t="s">
        <v>9</v>
      </c>
      <c r="C13" s="5">
        <v>100000</v>
      </c>
    </row>
    <row r="14" spans="1:3" ht="15.75">
      <c r="A14" s="4" t="s">
        <v>11</v>
      </c>
      <c r="B14" s="2" t="s">
        <v>12</v>
      </c>
      <c r="C14" s="5">
        <v>4E-05</v>
      </c>
    </row>
    <row r="15" spans="1:3" ht="15.75">
      <c r="A15" s="4" t="s">
        <v>13</v>
      </c>
      <c r="B15" s="2" t="s">
        <v>14</v>
      </c>
      <c r="C15" s="2">
        <v>27</v>
      </c>
    </row>
    <row r="16" spans="1:3" ht="15.75">
      <c r="A16" s="4" t="s">
        <v>15</v>
      </c>
      <c r="C16" s="2" t="s">
        <v>16</v>
      </c>
    </row>
    <row r="17" spans="1:3" ht="15.75">
      <c r="A17" s="4" t="s">
        <v>17</v>
      </c>
      <c r="C17" s="2" t="s">
        <v>18</v>
      </c>
    </row>
    <row r="18" spans="1:3" ht="15.75">
      <c r="A18" s="4" t="s">
        <v>19</v>
      </c>
      <c r="B18" s="2" t="s">
        <v>20</v>
      </c>
      <c r="C18" s="2">
        <v>1.3</v>
      </c>
    </row>
    <row r="19" spans="1:3" ht="15.75">
      <c r="A19" s="4" t="s">
        <v>21</v>
      </c>
      <c r="C19" s="2" t="s">
        <v>22</v>
      </c>
    </row>
    <row r="20" spans="1:3" ht="15.75">
      <c r="A20" s="4" t="s">
        <v>23</v>
      </c>
      <c r="C20" s="2" t="s">
        <v>24</v>
      </c>
    </row>
    <row r="21" spans="1:3" ht="15.75">
      <c r="A21" s="4" t="s">
        <v>25</v>
      </c>
      <c r="B21" s="2" t="s">
        <v>26</v>
      </c>
      <c r="C21" s="5">
        <v>0.0033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1:F40"/>
  <sheetViews>
    <sheetView workbookViewId="0" topLeftCell="A13">
      <selection activeCell="A27" sqref="A27:C27"/>
    </sheetView>
  </sheetViews>
  <sheetFormatPr defaultColWidth="11.00390625" defaultRowHeight="15.75"/>
  <cols>
    <col min="1" max="1" width="11.00390625" style="4" customWidth="1"/>
    <col min="2" max="2" width="12.125" style="2" bestFit="1" customWidth="1"/>
    <col min="3" max="4" width="11.00390625" style="2" customWidth="1"/>
  </cols>
  <sheetData>
    <row r="1" spans="2:4" ht="15.75">
      <c r="B1" s="2" t="s">
        <v>36</v>
      </c>
      <c r="C1" s="2" t="s">
        <v>37</v>
      </c>
      <c r="D1" s="2" t="s">
        <v>38</v>
      </c>
    </row>
    <row r="2" spans="1:5" ht="15.75">
      <c r="A2" s="4" t="s">
        <v>34</v>
      </c>
      <c r="B2" s="2">
        <v>15</v>
      </c>
      <c r="C2" s="2">
        <v>-15</v>
      </c>
      <c r="D2" s="2">
        <v>5</v>
      </c>
      <c r="E2" t="s">
        <v>39</v>
      </c>
    </row>
    <row r="3" spans="1:5" ht="15.75">
      <c r="A3" s="4" t="s">
        <v>35</v>
      </c>
      <c r="B3" s="2">
        <v>0.5</v>
      </c>
      <c r="C3" s="2">
        <v>-0.5</v>
      </c>
      <c r="D3" s="2">
        <v>1</v>
      </c>
      <c r="E3" t="s">
        <v>40</v>
      </c>
    </row>
    <row r="4" spans="1:5" ht="15.75">
      <c r="A4" s="4" t="s">
        <v>42</v>
      </c>
      <c r="B4" s="2">
        <f>B2*B3</f>
        <v>7.5</v>
      </c>
      <c r="C4" s="2">
        <f>C2*C3</f>
        <v>7.5</v>
      </c>
      <c r="D4" s="2">
        <f>D2*D3</f>
        <v>5</v>
      </c>
      <c r="E4" t="s">
        <v>41</v>
      </c>
    </row>
    <row r="5" spans="1:3" ht="15.75">
      <c r="A5" s="4" t="s">
        <v>42</v>
      </c>
      <c r="B5" s="2">
        <f>SUM(B4:D4)</f>
        <v>20</v>
      </c>
      <c r="C5" s="10" t="s">
        <v>41</v>
      </c>
    </row>
    <row r="6" spans="1:3" ht="15.75">
      <c r="A6" s="4" t="s">
        <v>43</v>
      </c>
      <c r="B6" s="7">
        <v>0.8</v>
      </c>
      <c r="C6" s="10"/>
    </row>
    <row r="7" spans="1:3" ht="15.75">
      <c r="A7" s="4" t="s">
        <v>44</v>
      </c>
      <c r="B7" s="2">
        <f>B5/B6</f>
        <v>25</v>
      </c>
      <c r="C7" s="10" t="s">
        <v>41</v>
      </c>
    </row>
    <row r="8" spans="1:3" ht="15.75">
      <c r="A8" s="4" t="s">
        <v>33</v>
      </c>
      <c r="B8" s="2">
        <v>30</v>
      </c>
      <c r="C8" s="10" t="s">
        <v>39</v>
      </c>
    </row>
    <row r="9" spans="1:3" ht="15.75">
      <c r="A9" s="4" t="s">
        <v>45</v>
      </c>
      <c r="B9" s="9">
        <f>B7/B8</f>
        <v>0.8333333333333334</v>
      </c>
      <c r="C9" s="10" t="s">
        <v>40</v>
      </c>
    </row>
    <row r="10" ht="15.75">
      <c r="C10" s="10"/>
    </row>
    <row r="11" spans="1:3" ht="15.75">
      <c r="A11" s="4" t="s">
        <v>48</v>
      </c>
      <c r="B11" s="2">
        <v>12</v>
      </c>
      <c r="C11" s="10" t="s">
        <v>39</v>
      </c>
    </row>
    <row r="12" spans="1:5" ht="15.75">
      <c r="A12" s="4" t="s">
        <v>46</v>
      </c>
      <c r="B12" s="7">
        <v>-0.15</v>
      </c>
      <c r="C12" s="7">
        <v>0</v>
      </c>
      <c r="D12" s="7">
        <v>0.1</v>
      </c>
      <c r="E12" s="11">
        <v>0.15</v>
      </c>
    </row>
    <row r="13" spans="1:6" ht="15.75">
      <c r="A13" s="4" t="s">
        <v>47</v>
      </c>
      <c r="B13" s="2">
        <f>$B$11*(1+B12)</f>
        <v>10.2</v>
      </c>
      <c r="C13" s="2">
        <f>$B$11*(1+C12)</f>
        <v>12</v>
      </c>
      <c r="D13" s="2">
        <f>$B$11*(1+D12)</f>
        <v>13.200000000000001</v>
      </c>
      <c r="E13" s="2">
        <f>$B$11*(1+E12)</f>
        <v>13.799999999999999</v>
      </c>
      <c r="F13" t="s">
        <v>39</v>
      </c>
    </row>
    <row r="14" spans="1:6" ht="15.75">
      <c r="A14" s="4" t="s">
        <v>49</v>
      </c>
      <c r="B14" s="12">
        <f>B13*SQRT(2)</f>
        <v>14.42497833620557</v>
      </c>
      <c r="C14" s="12">
        <f>C13*SQRT(2)</f>
        <v>16.970562748477143</v>
      </c>
      <c r="D14" s="12">
        <f>D13*SQRT(2)</f>
        <v>18.667619023324857</v>
      </c>
      <c r="E14" s="12">
        <f>E13*SQRT(2)</f>
        <v>19.516147160748712</v>
      </c>
      <c r="F14" t="s">
        <v>39</v>
      </c>
    </row>
    <row r="15" spans="1:3" ht="15.75">
      <c r="A15" s="4" t="s">
        <v>43</v>
      </c>
      <c r="B15" s="7">
        <v>0.95</v>
      </c>
      <c r="C15" s="10"/>
    </row>
    <row r="16" spans="1:3" ht="15.75">
      <c r="A16" s="4" t="s">
        <v>50</v>
      </c>
      <c r="B16" s="12">
        <f>B7/B15</f>
        <v>26.315789473684212</v>
      </c>
      <c r="C16" s="10" t="s">
        <v>41</v>
      </c>
    </row>
    <row r="17" spans="1:6" ht="15.75">
      <c r="A17" s="4" t="s">
        <v>51</v>
      </c>
      <c r="B17" s="9">
        <f>$B$16/B14</f>
        <v>1.8243209008940855</v>
      </c>
      <c r="C17" s="9">
        <f>$B$16/C14</f>
        <v>1.5506727657599726</v>
      </c>
      <c r="D17" s="9">
        <f>$B$16/D14</f>
        <v>1.4097025143272477</v>
      </c>
      <c r="E17" s="9">
        <f>$B$16/E14</f>
        <v>1.348411100660846</v>
      </c>
      <c r="F17" t="s">
        <v>40</v>
      </c>
    </row>
    <row r="18" spans="1:6" ht="15.75">
      <c r="A18" s="4" t="s">
        <v>52</v>
      </c>
      <c r="B18" s="9">
        <f>B17*SQRT(2)</f>
        <v>2.579979360165119</v>
      </c>
      <c r="C18" s="9">
        <f>C17*SQRT(2)</f>
        <v>2.192982456140351</v>
      </c>
      <c r="D18" s="9">
        <f>D17*SQRT(2)</f>
        <v>1.993620414673046</v>
      </c>
      <c r="E18" s="9">
        <f>E17*SQRT(2)</f>
        <v>1.906941266209001</v>
      </c>
      <c r="F18" t="s">
        <v>40</v>
      </c>
    </row>
    <row r="19" spans="1:6" s="15" customFormat="1" ht="15.75">
      <c r="A19" s="13" t="s">
        <v>53</v>
      </c>
      <c r="B19" s="14">
        <f>2*B18</f>
        <v>5.159958720330238</v>
      </c>
      <c r="C19" s="14">
        <f>2*C18</f>
        <v>4.385964912280702</v>
      </c>
      <c r="D19" s="14">
        <f>2*D18</f>
        <v>3.987240829346092</v>
      </c>
      <c r="E19" s="14">
        <f>2*E18</f>
        <v>3.813882532418002</v>
      </c>
      <c r="F19" s="15" t="s">
        <v>40</v>
      </c>
    </row>
    <row r="20" spans="1:3" ht="15.75">
      <c r="A20" s="4" t="s">
        <v>54</v>
      </c>
      <c r="B20" s="5">
        <v>20</v>
      </c>
      <c r="C20" s="10" t="s">
        <v>56</v>
      </c>
    </row>
    <row r="21" spans="1:3" ht="15.75">
      <c r="A21" s="13" t="s">
        <v>55</v>
      </c>
      <c r="B21" s="18">
        <f>2*B20*(B8/SQRT(2)-B13)*B13^2/(B8*B13*B19)</f>
        <v>29.02728003113278</v>
      </c>
      <c r="C21" s="19" t="s">
        <v>57</v>
      </c>
    </row>
    <row r="22" spans="1:3" ht="15.75">
      <c r="A22" s="4" t="s">
        <v>58</v>
      </c>
      <c r="B22" s="2">
        <f>2*B7*B21/(B15*B13^2)</f>
        <v>14.684271247461897</v>
      </c>
      <c r="C22" s="8" t="s">
        <v>56</v>
      </c>
    </row>
    <row r="23" spans="1:3" ht="15.75">
      <c r="A23" s="4" t="s">
        <v>59</v>
      </c>
      <c r="B23" s="2">
        <v>90</v>
      </c>
      <c r="C23" s="8" t="s">
        <v>60</v>
      </c>
    </row>
    <row r="24" spans="1:3" ht="15.75">
      <c r="A24" s="4" t="s">
        <v>61</v>
      </c>
      <c r="B24" s="2">
        <f>B22/(B8/(SQRT(2)*B13*ABS(SIN(B23/180*PI())))-1)</f>
        <v>13.599999999999998</v>
      </c>
      <c r="C24" s="8" t="s">
        <v>56</v>
      </c>
    </row>
    <row r="25" spans="1:3" ht="15.75">
      <c r="A25" s="13" t="s">
        <v>62</v>
      </c>
      <c r="B25" s="20">
        <f>1/(B22+B24)/0.000001</f>
        <v>35355.33905932739</v>
      </c>
      <c r="C25" s="21" t="s">
        <v>63</v>
      </c>
    </row>
    <row r="26" spans="1:3" ht="15.75">
      <c r="A26" s="4" t="s">
        <v>64</v>
      </c>
      <c r="B26" s="2">
        <v>0.5</v>
      </c>
      <c r="C26" s="8" t="s">
        <v>65</v>
      </c>
    </row>
    <row r="27" spans="1:3" ht="15.75">
      <c r="A27" s="13" t="s">
        <v>66</v>
      </c>
      <c r="B27" s="22">
        <f>B26/B19</f>
        <v>0.0969</v>
      </c>
      <c r="C27" s="21" t="s">
        <v>67</v>
      </c>
    </row>
    <row r="28" spans="1:2" ht="15.75">
      <c r="A28" s="4" t="s">
        <v>68</v>
      </c>
      <c r="B28" s="2">
        <v>3</v>
      </c>
    </row>
    <row r="29" spans="1:3" ht="15.75">
      <c r="A29" s="4" t="s">
        <v>69</v>
      </c>
      <c r="B29" s="12">
        <f>MAX(B14:E14)</f>
        <v>19.516147160748712</v>
      </c>
      <c r="C29" s="2" t="s">
        <v>39</v>
      </c>
    </row>
    <row r="30" spans="1:3" ht="15.75">
      <c r="A30" s="4" t="s">
        <v>70</v>
      </c>
      <c r="B30" s="17">
        <v>7500</v>
      </c>
      <c r="C30" s="2" t="s">
        <v>67</v>
      </c>
    </row>
    <row r="31" spans="1:3" ht="15.75">
      <c r="A31" s="4" t="s">
        <v>71</v>
      </c>
      <c r="B31" s="17">
        <f>(B29/B28-1)*B30</f>
        <v>41290.36790187178</v>
      </c>
      <c r="C31" s="2" t="s">
        <v>67</v>
      </c>
    </row>
    <row r="32" spans="1:3" ht="15.75">
      <c r="A32" s="4" t="s">
        <v>72</v>
      </c>
      <c r="B32" s="2">
        <v>2.5</v>
      </c>
      <c r="C32" s="2" t="s">
        <v>39</v>
      </c>
    </row>
    <row r="33" spans="1:3" ht="15.75">
      <c r="A33" s="4" t="s">
        <v>73</v>
      </c>
      <c r="B33" s="2">
        <v>100</v>
      </c>
      <c r="C33" s="2" t="s">
        <v>74</v>
      </c>
    </row>
    <row r="34" spans="1:3" ht="15.75">
      <c r="A34" s="4" t="s">
        <v>75</v>
      </c>
      <c r="B34" s="2">
        <v>500</v>
      </c>
      <c r="C34" s="2" t="s">
        <v>74</v>
      </c>
    </row>
    <row r="35" spans="1:3" ht="15.75">
      <c r="A35" s="4" t="s">
        <v>76</v>
      </c>
      <c r="B35" s="17">
        <f>B32/B34/0.000001</f>
        <v>5000</v>
      </c>
      <c r="C35" s="2" t="s">
        <v>67</v>
      </c>
    </row>
    <row r="36" spans="1:3" ht="15.75">
      <c r="A36" s="4" t="s">
        <v>76</v>
      </c>
      <c r="B36" s="17">
        <v>10000</v>
      </c>
      <c r="C36" s="2" t="s">
        <v>67</v>
      </c>
    </row>
    <row r="37" spans="1:3" ht="15.75">
      <c r="A37" s="4" t="s">
        <v>77</v>
      </c>
      <c r="B37" s="17">
        <f>(B8/B32-1)*B36</f>
        <v>110000</v>
      </c>
      <c r="C37" s="2" t="s">
        <v>67</v>
      </c>
    </row>
    <row r="38" spans="1:2" ht="15.75">
      <c r="A38" s="4" t="s">
        <v>80</v>
      </c>
      <c r="B38" s="17">
        <f>B32*(B37/B36+1)-B33*B36*0.000001</f>
        <v>29</v>
      </c>
    </row>
    <row r="39" spans="1:3" ht="15.75">
      <c r="A39" s="4" t="s">
        <v>78</v>
      </c>
      <c r="B39" s="2">
        <v>20</v>
      </c>
      <c r="C39" s="2" t="s">
        <v>63</v>
      </c>
    </row>
    <row r="40" spans="1:3" ht="15.75">
      <c r="A40" s="4" t="s">
        <v>79</v>
      </c>
      <c r="B40" s="16">
        <f>1/(B39*2*PI()*(B36*B37)/(B37+B36))*1000000000</f>
        <v>868.1178714103382</v>
      </c>
      <c r="C40" s="2" t="s">
        <v>81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LEQUEU</dc:creator>
  <cp:keywords/>
  <dc:description/>
  <cp:lastModifiedBy>Thierry Lequeu</cp:lastModifiedBy>
  <dcterms:created xsi:type="dcterms:W3CDTF">2004-11-21T17:27:35Z</dcterms:created>
  <dcterms:modified xsi:type="dcterms:W3CDTF">2008-12-13T07:36:13Z</dcterms:modified>
  <cp:category/>
  <cp:version/>
  <cp:contentType/>
  <cp:contentStatus/>
</cp:coreProperties>
</file>